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persons/person.xml" ContentType="application/vnd.ms-excel.perso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imperiallondon-my.sharepoint.com/personal/ls824_ic_ac_uk/Documents/EURECHA/"/>
    </mc:Choice>
  </mc:AlternateContent>
  <xr:revisionPtr revIDLastSave="1064" documentId="8_{F92895B2-660D-5448-BE89-9A5D1DE58C24}" xr6:coauthVersionLast="47" xr6:coauthVersionMax="47" xr10:uidLastSave="{74B4EA87-0C6D-414F-B237-6C90CEB03FAC}"/>
  <bookViews>
    <workbookView xWindow="-110" yWindow="-110" windowWidth="19420" windowHeight="11500" activeTab="5" xr2:uid="{75EAD38E-0C3D-9F4F-A1F1-8D91946B1993}"/>
  </bookViews>
  <sheets>
    <sheet name="PCC (BASE-CASE)  DONE " sheetId="1" r:id="rId1"/>
    <sheet name="PCC (OPTIMISED) DONE" sheetId="4" r:id="rId2"/>
    <sheet name="DAC" sheetId="2" r:id="rId3"/>
    <sheet name="FA production (Base-Case) DONE" sheetId="5" r:id="rId4"/>
    <sheet name="FA production (Optimised) DONE " sheetId="3" r:id="rId5"/>
    <sheet name="GWP Data" sheetId="6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" i="6" l="1"/>
  <c r="D7" i="6"/>
  <c r="F7" i="6"/>
  <c r="I13" i="2"/>
  <c r="G13" i="2"/>
  <c r="D16" i="2"/>
  <c r="G7" i="2"/>
  <c r="G5" i="2"/>
  <c r="G4" i="2"/>
  <c r="G10" i="2"/>
  <c r="G9" i="2"/>
  <c r="B9" i="2"/>
  <c r="B8" i="2"/>
  <c r="B7" i="2"/>
  <c r="B6" i="2"/>
  <c r="N17" i="2"/>
  <c r="N11" i="2"/>
  <c r="N10" i="2"/>
  <c r="N9" i="2"/>
  <c r="N8" i="2"/>
  <c r="N2" i="2"/>
  <c r="D13" i="2" s="1"/>
  <c r="I41" i="5"/>
  <c r="I40" i="5"/>
  <c r="I39" i="5"/>
  <c r="I38" i="5"/>
  <c r="D24" i="5"/>
  <c r="N16" i="5"/>
  <c r="G20" i="4"/>
  <c r="N16" i="3"/>
  <c r="D24" i="3" s="1"/>
  <c r="I20" i="4"/>
  <c r="G17" i="4"/>
  <c r="G16" i="4"/>
  <c r="I16" i="4" s="1"/>
  <c r="G15" i="4"/>
  <c r="G14" i="4"/>
  <c r="I14" i="4" s="1"/>
  <c r="G12" i="4"/>
  <c r="I12" i="4" s="1"/>
  <c r="G11" i="4"/>
  <c r="I11" i="4" s="1"/>
  <c r="G10" i="4"/>
  <c r="I10" i="4" s="1"/>
  <c r="G9" i="4"/>
  <c r="G7" i="4"/>
  <c r="G6" i="4"/>
  <c r="G5" i="4"/>
  <c r="G4" i="4"/>
  <c r="B9" i="4"/>
  <c r="D9" i="4" s="1"/>
  <c r="B7" i="4"/>
  <c r="D7" i="4" s="1"/>
  <c r="B5" i="4"/>
  <c r="B4" i="4"/>
  <c r="D4" i="4" s="1"/>
  <c r="I15" i="4"/>
  <c r="D12" i="4"/>
  <c r="B8" i="4"/>
  <c r="N2" i="4"/>
  <c r="I4" i="4" s="1"/>
  <c r="I48" i="5"/>
  <c r="I47" i="5"/>
  <c r="I46" i="5" s="1"/>
  <c r="I44" i="5"/>
  <c r="I43" i="5"/>
  <c r="I31" i="5"/>
  <c r="I30" i="5"/>
  <c r="I29" i="5"/>
  <c r="I28" i="5"/>
  <c r="I25" i="5"/>
  <c r="D25" i="5"/>
  <c r="I24" i="5"/>
  <c r="D17" i="5"/>
  <c r="G16" i="5"/>
  <c r="I17" i="5" s="1"/>
  <c r="I15" i="5"/>
  <c r="I13" i="5"/>
  <c r="I12" i="5"/>
  <c r="B12" i="5"/>
  <c r="D12" i="5" s="1"/>
  <c r="N11" i="5"/>
  <c r="I45" i="5" s="1"/>
  <c r="I11" i="5"/>
  <c r="B11" i="5"/>
  <c r="N10" i="5"/>
  <c r="N9" i="5"/>
  <c r="I9" i="5"/>
  <c r="B9" i="5"/>
  <c r="D9" i="5" s="1"/>
  <c r="D8" i="5" s="1"/>
  <c r="N8" i="5"/>
  <c r="I8" i="5"/>
  <c r="B7" i="5"/>
  <c r="D7" i="5" s="1"/>
  <c r="I6" i="5"/>
  <c r="B6" i="5"/>
  <c r="D6" i="5" s="1"/>
  <c r="I5" i="5"/>
  <c r="B5" i="5"/>
  <c r="G4" i="5"/>
  <c r="B4" i="5"/>
  <c r="N2" i="5"/>
  <c r="I26" i="5" s="1"/>
  <c r="B17" i="3"/>
  <c r="D17" i="3" s="1"/>
  <c r="N11" i="3"/>
  <c r="G44" i="3"/>
  <c r="G43" i="3"/>
  <c r="G41" i="3"/>
  <c r="G40" i="3"/>
  <c r="G39" i="3"/>
  <c r="G37" i="3"/>
  <c r="G36" i="3"/>
  <c r="G34" i="3"/>
  <c r="G33" i="3"/>
  <c r="G32" i="3"/>
  <c r="G31" i="3"/>
  <c r="G30" i="3"/>
  <c r="G29" i="3"/>
  <c r="G28" i="3"/>
  <c r="G26" i="3"/>
  <c r="G25" i="3"/>
  <c r="G24" i="3"/>
  <c r="G23" i="3"/>
  <c r="G22" i="3"/>
  <c r="G21" i="3"/>
  <c r="G20" i="3"/>
  <c r="G16" i="3"/>
  <c r="G18" i="3" s="1"/>
  <c r="N10" i="3"/>
  <c r="N9" i="3"/>
  <c r="N8" i="3"/>
  <c r="N2" i="3"/>
  <c r="D26" i="3" s="1"/>
  <c r="G15" i="3"/>
  <c r="I15" i="3" s="1"/>
  <c r="G14" i="3"/>
  <c r="G13" i="3"/>
  <c r="G12" i="3"/>
  <c r="G11" i="3"/>
  <c r="G10" i="3"/>
  <c r="G9" i="3"/>
  <c r="G8" i="3"/>
  <c r="G6" i="3"/>
  <c r="G4" i="3"/>
  <c r="G5" i="3"/>
  <c r="B14" i="3"/>
  <c r="B12" i="3"/>
  <c r="B11" i="3"/>
  <c r="B9" i="3"/>
  <c r="B7" i="3"/>
  <c r="B6" i="3"/>
  <c r="B5" i="3"/>
  <c r="B4" i="3"/>
  <c r="I20" i="1"/>
  <c r="D12" i="1"/>
  <c r="I15" i="1"/>
  <c r="G17" i="1"/>
  <c r="G16" i="1"/>
  <c r="G15" i="1"/>
  <c r="G14" i="1"/>
  <c r="I14" i="1" s="1"/>
  <c r="G12" i="1"/>
  <c r="I12" i="1" s="1"/>
  <c r="G11" i="1"/>
  <c r="I11" i="1" s="1"/>
  <c r="G6" i="1"/>
  <c r="G10" i="1"/>
  <c r="G9" i="1"/>
  <c r="G7" i="1"/>
  <c r="I7" i="1" s="1"/>
  <c r="G5" i="1"/>
  <c r="I5" i="1" s="1"/>
  <c r="G4" i="1"/>
  <c r="I4" i="1" s="1"/>
  <c r="D9" i="1"/>
  <c r="B9" i="1"/>
  <c r="B8" i="1"/>
  <c r="B7" i="1"/>
  <c r="D7" i="1" s="1"/>
  <c r="B5" i="1"/>
  <c r="D5" i="1" s="1"/>
  <c r="B4" i="1"/>
  <c r="D4" i="1" s="1"/>
  <c r="D3" i="1" s="1"/>
  <c r="N2" i="1"/>
  <c r="I6" i="1" s="1"/>
  <c r="I3" i="1" l="1"/>
  <c r="I10" i="1"/>
  <c r="D18" i="1"/>
  <c r="D19" i="4"/>
  <c r="I17" i="4"/>
  <c r="I13" i="4" s="1"/>
  <c r="D19" i="1"/>
  <c r="I31" i="3"/>
  <c r="D4" i="5"/>
  <c r="D3" i="5" s="1"/>
  <c r="I18" i="5"/>
  <c r="I16" i="5" s="1"/>
  <c r="I33" i="5"/>
  <c r="I27" i="5" s="1"/>
  <c r="D8" i="4"/>
  <c r="I6" i="4"/>
  <c r="I7" i="2"/>
  <c r="I6" i="2" s="1"/>
  <c r="I10" i="5"/>
  <c r="I21" i="5"/>
  <c r="I34" i="5"/>
  <c r="I7" i="4"/>
  <c r="I17" i="1"/>
  <c r="I6" i="3"/>
  <c r="D8" i="1"/>
  <c r="D6" i="1" s="1"/>
  <c r="D6" i="3"/>
  <c r="I4" i="5"/>
  <c r="I3" i="5" s="1"/>
  <c r="I14" i="5"/>
  <c r="I22" i="5"/>
  <c r="I36" i="5"/>
  <c r="I35" i="5" s="1"/>
  <c r="D14" i="5"/>
  <c r="D13" i="5" s="1"/>
  <c r="I16" i="1"/>
  <c r="I13" i="1" s="1"/>
  <c r="I9" i="1"/>
  <c r="I8" i="1" s="1"/>
  <c r="I8" i="3"/>
  <c r="I32" i="5"/>
  <c r="I5" i="2"/>
  <c r="D7" i="3"/>
  <c r="D5" i="5"/>
  <c r="D11" i="5"/>
  <c r="D10" i="5" s="1"/>
  <c r="I23" i="5"/>
  <c r="I37" i="5"/>
  <c r="D8" i="2"/>
  <c r="D9" i="2"/>
  <c r="I4" i="2"/>
  <c r="I9" i="2"/>
  <c r="I10" i="2"/>
  <c r="I8" i="2" s="1"/>
  <c r="D11" i="2"/>
  <c r="D10" i="2" s="1"/>
  <c r="D12" i="2"/>
  <c r="D6" i="2"/>
  <c r="D7" i="2"/>
  <c r="I42" i="5"/>
  <c r="I9" i="4"/>
  <c r="I8" i="4" s="1"/>
  <c r="D6" i="4"/>
  <c r="I5" i="4"/>
  <c r="D18" i="4"/>
  <c r="D5" i="4"/>
  <c r="D3" i="4" s="1"/>
  <c r="I7" i="5"/>
  <c r="D23" i="5"/>
  <c r="D26" i="5"/>
  <c r="G51" i="5"/>
  <c r="I51" i="5" s="1"/>
  <c r="I20" i="5"/>
  <c r="I22" i="3"/>
  <c r="I41" i="3"/>
  <c r="I23" i="3"/>
  <c r="I24" i="3"/>
  <c r="I34" i="3"/>
  <c r="I14" i="3"/>
  <c r="I43" i="3"/>
  <c r="I36" i="3"/>
  <c r="I32" i="3"/>
  <c r="I33" i="3"/>
  <c r="I25" i="3"/>
  <c r="I26" i="3"/>
  <c r="I28" i="3"/>
  <c r="I29" i="3"/>
  <c r="I13" i="3"/>
  <c r="I39" i="3"/>
  <c r="D9" i="3"/>
  <c r="D8" i="3" s="1"/>
  <c r="I9" i="3"/>
  <c r="D11" i="3"/>
  <c r="I30" i="3"/>
  <c r="D14" i="3"/>
  <c r="D13" i="3" s="1"/>
  <c r="I12" i="3"/>
  <c r="I18" i="3"/>
  <c r="I20" i="3"/>
  <c r="I10" i="3"/>
  <c r="I11" i="3"/>
  <c r="I5" i="3"/>
  <c r="I40" i="3"/>
  <c r="D12" i="3"/>
  <c r="D4" i="3"/>
  <c r="D5" i="3"/>
  <c r="D23" i="3"/>
  <c r="D25" i="3"/>
  <c r="I4" i="3"/>
  <c r="I44" i="3"/>
  <c r="G17" i="3"/>
  <c r="I17" i="3" s="1"/>
  <c r="I37" i="3"/>
  <c r="I21" i="3"/>
  <c r="G47" i="3"/>
  <c r="I47" i="3" s="1"/>
  <c r="D22" i="2"/>
  <c r="D4" i="2"/>
  <c r="D5" i="2" l="1"/>
  <c r="I3" i="4"/>
  <c r="I19" i="5"/>
  <c r="I3" i="3"/>
  <c r="I3" i="2"/>
  <c r="D3" i="2"/>
  <c r="I35" i="3"/>
  <c r="I16" i="3"/>
  <c r="I27" i="3"/>
  <c r="I42" i="3"/>
  <c r="I38" i="3"/>
  <c r="D3" i="3"/>
  <c r="D10" i="3"/>
  <c r="I7" i="3"/>
  <c r="I19" i="3"/>
</calcChain>
</file>

<file path=xl/sharedStrings.xml><?xml version="1.0" encoding="utf-8"?>
<sst xmlns="http://schemas.openxmlformats.org/spreadsheetml/2006/main" count="798" uniqueCount="104">
  <si>
    <t>Amount</t>
  </si>
  <si>
    <t>Unit</t>
  </si>
  <si>
    <t>Flow</t>
  </si>
  <si>
    <t>Rlean (Lean Gas)</t>
  </si>
  <si>
    <t>kmol/hr</t>
  </si>
  <si>
    <t>Assumed hours of operation</t>
  </si>
  <si>
    <t>Assumed years of operation</t>
  </si>
  <si>
    <t>MW of CO2 (kg/kmol)</t>
  </si>
  <si>
    <t>kg</t>
  </si>
  <si>
    <t>MEA</t>
  </si>
  <si>
    <t>MW of MEA (kg/kmol)</t>
  </si>
  <si>
    <t>H2O</t>
  </si>
  <si>
    <t>MW of H2O (kg/kmol)</t>
  </si>
  <si>
    <t>FlueGas</t>
  </si>
  <si>
    <t>mol/s</t>
  </si>
  <si>
    <t>Assymed seconds in an hour</t>
  </si>
  <si>
    <t>CO2</t>
  </si>
  <si>
    <t>N2</t>
  </si>
  <si>
    <t>MW of N2 (kg/kmol)</t>
  </si>
  <si>
    <t>Amount (For 20 year operation)</t>
  </si>
  <si>
    <t>Unit (for LCA)</t>
  </si>
  <si>
    <t>S3</t>
  </si>
  <si>
    <t>(Ions have been ignored)</t>
  </si>
  <si>
    <t>RRecy</t>
  </si>
  <si>
    <t>Input(s) - Materials</t>
  </si>
  <si>
    <t>Input(s) - Flows</t>
  </si>
  <si>
    <t>Output(s) - Flows</t>
  </si>
  <si>
    <t>Sheet Rolling Steel</t>
  </si>
  <si>
    <t>Input(s) - Chemical Factory</t>
  </si>
  <si>
    <t>Chemical Factory</t>
  </si>
  <si>
    <t>Input(s) - Utilities</t>
  </si>
  <si>
    <t>Total Utilities</t>
  </si>
  <si>
    <t>lb</t>
  </si>
  <si>
    <t>1 lb/1 pound (in kg)</t>
  </si>
  <si>
    <t>Chemical Factory (Assumed)</t>
  </si>
  <si>
    <t>KW (kJ/s)</t>
  </si>
  <si>
    <t>Refrigerant/Freon 12</t>
  </si>
  <si>
    <t>klb/hr</t>
  </si>
  <si>
    <t>MJ</t>
  </si>
  <si>
    <t>Electricity (Using Wind)</t>
  </si>
  <si>
    <t>Outputs(s) - Materials</t>
  </si>
  <si>
    <t>Stainless Steel (Assuming the plant is made from stainless steel) - Total Installed Material - Will now be thrown out as waste upon decommisioning</t>
  </si>
  <si>
    <t>Scrap Steel</t>
  </si>
  <si>
    <t>2 (H2O stream)</t>
  </si>
  <si>
    <t>Air</t>
  </si>
  <si>
    <t>O2</t>
  </si>
  <si>
    <t>Water</t>
  </si>
  <si>
    <t>10 (Purge Stream)</t>
  </si>
  <si>
    <t>14 (Purge Stream)</t>
  </si>
  <si>
    <t>MeOH</t>
  </si>
  <si>
    <t>CH4</t>
  </si>
  <si>
    <t xml:space="preserve">H2 </t>
  </si>
  <si>
    <t>MW of MeOH (kg/kmol)</t>
  </si>
  <si>
    <t>MW of CH4 (kg/kmol)</t>
  </si>
  <si>
    <t>MW of O2 (kg/kmol)</t>
  </si>
  <si>
    <t>16 (Bottoms Stream)</t>
  </si>
  <si>
    <t>ABSTOP</t>
  </si>
  <si>
    <t>FA</t>
  </si>
  <si>
    <t>DME</t>
  </si>
  <si>
    <t xml:space="preserve">CO </t>
  </si>
  <si>
    <t>FLASHTOP</t>
  </si>
  <si>
    <t>PURGE</t>
  </si>
  <si>
    <t>FINAL</t>
  </si>
  <si>
    <t>METHSALE</t>
  </si>
  <si>
    <t>MW of FA (kg/kmol)</t>
  </si>
  <si>
    <t>MW of H2 (kg/kmol)</t>
  </si>
  <si>
    <t>MW of DME (kg/kmol)</t>
  </si>
  <si>
    <t>MW of CO (kg/kmol)</t>
  </si>
  <si>
    <t>Stainless Steel (Assuming the plant is made from stainless steel) - Total Equipment weight</t>
  </si>
  <si>
    <t>Cooling Water</t>
  </si>
  <si>
    <t>Refrigerant - Freon 12</t>
  </si>
  <si>
    <t>Steam @ 100 PSI</t>
  </si>
  <si>
    <t>Refrigerant (Propane)</t>
  </si>
  <si>
    <t>BTU/hr</t>
  </si>
  <si>
    <t>1 BTU (in kJ)</t>
  </si>
  <si>
    <t>mmgal/h</t>
  </si>
  <si>
    <t>1 MMGAL (in kg)</t>
  </si>
  <si>
    <t>CO</t>
  </si>
  <si>
    <t>NAOH</t>
  </si>
  <si>
    <t>kg/hr</t>
  </si>
  <si>
    <t>NaOH</t>
  </si>
  <si>
    <t>kmol/cum</t>
  </si>
  <si>
    <t>AIR</t>
  </si>
  <si>
    <t>tonnes/hr</t>
  </si>
  <si>
    <t>CAOH2RE</t>
  </si>
  <si>
    <t>kmol/sec</t>
  </si>
  <si>
    <t xml:space="preserve">CAOH2 </t>
  </si>
  <si>
    <t>MW of CaOH2 (kg/kmol)</t>
  </si>
  <si>
    <t>CACO3F</t>
  </si>
  <si>
    <t>CACO3</t>
  </si>
  <si>
    <t>1 tonne (in kg)</t>
  </si>
  <si>
    <t>GASOUT</t>
  </si>
  <si>
    <t>Stainless Steel (Assuming the plant is made from stainless steel) - Total Equipment  Weight</t>
  </si>
  <si>
    <t>GWP</t>
  </si>
  <si>
    <t>Contributors</t>
  </si>
  <si>
    <t>Optimised FA + Optimised PCC</t>
  </si>
  <si>
    <t>Optimised FA</t>
  </si>
  <si>
    <t>Optimised FA + DAC</t>
  </si>
  <si>
    <t>Non-trivial emissions</t>
  </si>
  <si>
    <t>Air Separation, Cryogenic (N2) - RER</t>
  </si>
  <si>
    <t>Market for Calcium Carbonate - RER</t>
  </si>
  <si>
    <t>Air Separation, Cryogenic (O2) - RER</t>
  </si>
  <si>
    <t>Market for Monoethanolamine - GLO</t>
  </si>
  <si>
    <t>Carbon Dioxide Production, liquid - RER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</si>
</sst>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b/>
      <sz val="12"/>
      <color theme="1"/>
      <name val="Aptos Narrow"/>
      <scheme val="minor"/>
    </font>
  </fonts>
  <fills count="6">
    <fill>
      <patternFill patternType="none"/>
    </fill>
    <fill>
      <patternFill patternType="gray125"/>
    </fill>
    <fill>
      <patternFill patternType="solid">
        <fgColor theme="3" tint="0.74999237037263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2" borderId="4" xfId="0" applyFill="1" applyBorder="1"/>
    <xf numFmtId="0" fontId="0" fillId="2" borderId="5" xfId="0" applyFill="1" applyBorder="1"/>
    <xf numFmtId="0" fontId="0" fillId="2" borderId="8" xfId="0" applyFill="1" applyBorder="1"/>
    <xf numFmtId="0" fontId="0" fillId="3" borderId="0" xfId="0" applyFill="1"/>
    <xf numFmtId="0" fontId="0" fillId="4" borderId="0" xfId="0" applyFill="1"/>
    <xf numFmtId="0" fontId="0" fillId="2" borderId="6" xfId="0" applyFill="1" applyBorder="1"/>
    <xf numFmtId="0" fontId="0" fillId="3" borderId="9" xfId="0" applyFill="1" applyBorder="1"/>
    <xf numFmtId="0" fontId="0" fillId="3" borderId="15" xfId="0" applyFill="1" applyBorder="1"/>
    <xf numFmtId="0" fontId="0" fillId="4" borderId="9" xfId="0" applyFill="1" applyBorder="1"/>
    <xf numFmtId="0" fontId="0" fillId="4" borderId="15" xfId="0" applyFill="1" applyBorder="1"/>
    <xf numFmtId="0" fontId="0" fillId="4" borderId="16" xfId="0" applyFill="1" applyBorder="1"/>
    <xf numFmtId="0" fontId="0" fillId="4" borderId="14" xfId="0" applyFill="1" applyBorder="1"/>
    <xf numFmtId="0" fontId="0" fillId="4" borderId="10" xfId="0" applyFill="1" applyBorder="1"/>
    <xf numFmtId="4" fontId="0" fillId="3" borderId="0" xfId="0" applyNumberFormat="1" applyFill="1"/>
    <xf numFmtId="4" fontId="0" fillId="4" borderId="0" xfId="0" applyNumberFormat="1" applyFill="1"/>
    <xf numFmtId="4" fontId="0" fillId="4" borderId="14" xfId="0" applyNumberFormat="1" applyFill="1" applyBorder="1"/>
    <xf numFmtId="11" fontId="0" fillId="4" borderId="0" xfId="0" applyNumberFormat="1" applyFill="1"/>
    <xf numFmtId="0" fontId="0" fillId="3" borderId="17" xfId="0" applyFill="1" applyBorder="1" applyAlignment="1">
      <alignment horizontal="center"/>
    </xf>
    <xf numFmtId="11" fontId="0" fillId="0" borderId="0" xfId="0" applyNumberFormat="1"/>
    <xf numFmtId="0" fontId="0" fillId="3" borderId="11" xfId="0" applyFill="1" applyBorder="1"/>
    <xf numFmtId="0" fontId="0" fillId="3" borderId="12" xfId="0" applyFill="1" applyBorder="1"/>
    <xf numFmtId="0" fontId="0" fillId="3" borderId="13" xfId="0" applyFill="1" applyBorder="1"/>
    <xf numFmtId="0" fontId="0" fillId="5" borderId="9" xfId="0" applyFill="1" applyBorder="1"/>
    <xf numFmtId="0" fontId="0" fillId="5" borderId="0" xfId="0" applyFill="1"/>
    <xf numFmtId="0" fontId="0" fillId="5" borderId="15" xfId="0" applyFill="1" applyBorder="1"/>
    <xf numFmtId="11" fontId="0" fillId="5" borderId="0" xfId="0" applyNumberFormat="1" applyFill="1"/>
    <xf numFmtId="2" fontId="0" fillId="3" borderId="0" xfId="0" applyNumberFormat="1" applyFill="1"/>
    <xf numFmtId="2" fontId="0" fillId="4" borderId="0" xfId="0" applyNumberFormat="1" applyFill="1"/>
    <xf numFmtId="4" fontId="0" fillId="0" borderId="0" xfId="0" applyNumberFormat="1"/>
    <xf numFmtId="0" fontId="0" fillId="2" borderId="22" xfId="0" applyFill="1" applyBorder="1"/>
    <xf numFmtId="0" fontId="0" fillId="2" borderId="23" xfId="0" applyFill="1" applyBorder="1"/>
    <xf numFmtId="0" fontId="0" fillId="2" borderId="24" xfId="0" applyFill="1" applyBorder="1"/>
    <xf numFmtId="2" fontId="0" fillId="3" borderId="12" xfId="0" applyNumberFormat="1" applyFill="1" applyBorder="1"/>
    <xf numFmtId="0" fontId="1" fillId="3" borderId="0" xfId="0" applyFont="1" applyFill="1"/>
    <xf numFmtId="2" fontId="1" fillId="3" borderId="0" xfId="0" applyNumberFormat="1" applyFont="1" applyFill="1"/>
    <xf numFmtId="0" fontId="1" fillId="3" borderId="15" xfId="0" applyFont="1" applyFill="1" applyBorder="1"/>
    <xf numFmtId="0" fontId="1" fillId="4" borderId="0" xfId="0" applyFont="1" applyFill="1"/>
    <xf numFmtId="2" fontId="1" fillId="4" borderId="0" xfId="0" applyNumberFormat="1" applyFont="1" applyFill="1"/>
    <xf numFmtId="0" fontId="1" fillId="4" borderId="15" xfId="0" applyFont="1" applyFill="1" applyBorder="1"/>
    <xf numFmtId="0" fontId="1" fillId="3" borderId="9" xfId="0" applyFont="1" applyFill="1" applyBorder="1"/>
    <xf numFmtId="4" fontId="1" fillId="3" borderId="0" xfId="0" applyNumberFormat="1" applyFont="1" applyFill="1"/>
    <xf numFmtId="0" fontId="1" fillId="4" borderId="9" xfId="0" applyFont="1" applyFill="1" applyBorder="1"/>
    <xf numFmtId="4" fontId="1" fillId="4" borderId="0" xfId="0" applyNumberFormat="1" applyFont="1" applyFill="1"/>
    <xf numFmtId="0" fontId="1" fillId="4" borderId="16" xfId="0" applyFont="1" applyFill="1" applyBorder="1"/>
    <xf numFmtId="0" fontId="1" fillId="4" borderId="14" xfId="0" applyFont="1" applyFill="1" applyBorder="1"/>
    <xf numFmtId="4" fontId="1" fillId="4" borderId="14" xfId="0" applyNumberFormat="1" applyFont="1" applyFill="1" applyBorder="1"/>
    <xf numFmtId="0" fontId="1" fillId="4" borderId="10" xfId="0" applyFont="1" applyFill="1" applyBorder="1"/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3" borderId="17" xfId="0" applyFill="1" applyBorder="1" applyAlignment="1">
      <alignment horizontal="center"/>
    </xf>
    <xf numFmtId="0" fontId="0" fillId="3" borderId="18" xfId="0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0" fillId="3" borderId="17" xfId="0" applyFill="1" applyBorder="1" applyAlignment="1">
      <alignment horizontal="center" vertical="center"/>
    </xf>
    <xf numFmtId="0" fontId="0" fillId="3" borderId="18" xfId="0" applyFill="1" applyBorder="1" applyAlignment="1">
      <alignment horizontal="center" vertical="center"/>
    </xf>
    <xf numFmtId="0" fontId="0" fillId="3" borderId="25" xfId="0" applyFill="1" applyBorder="1" applyAlignment="1">
      <alignment horizontal="center"/>
    </xf>
    <xf numFmtId="0" fontId="0" fillId="2" borderId="20" xfId="0" applyFill="1" applyBorder="1" applyAlignment="1">
      <alignment horizontal="center"/>
    </xf>
    <xf numFmtId="0" fontId="0" fillId="2" borderId="21" xfId="0" applyFill="1" applyBorder="1" applyAlignment="1">
      <alignment horizontal="center"/>
    </xf>
    <xf numFmtId="0" fontId="0" fillId="2" borderId="19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microsoft.com/office/2017/10/relationships/person" Target="persons/perso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3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1BF1D9-E46D-2643-B57C-D4C5F80A491D}">
  <dimension ref="A1:N23"/>
  <sheetViews>
    <sheetView zoomScale="160" workbookViewId="0">
      <selection activeCell="I9" sqref="I9"/>
    </sheetView>
  </sheetViews>
  <sheetFormatPr defaultColWidth="10.6640625" defaultRowHeight="16" x14ac:dyDescent="0.4"/>
  <cols>
    <col min="1" max="1" width="23.33203125" customWidth="1"/>
    <col min="2" max="2" width="10.83203125" customWidth="1"/>
    <col min="4" max="4" width="26.33203125" customWidth="1"/>
    <col min="5" max="5" width="14.1640625" customWidth="1"/>
    <col min="6" max="6" width="19.6640625" customWidth="1"/>
    <col min="7" max="7" width="12.1640625" bestFit="1" customWidth="1"/>
    <col min="9" max="9" width="25.5" customWidth="1"/>
    <col min="10" max="10" width="12.83203125" customWidth="1"/>
    <col min="13" max="13" width="24.33203125" customWidth="1"/>
  </cols>
  <sheetData>
    <row r="1" spans="1:14" x14ac:dyDescent="0.4">
      <c r="A1" s="53" t="s">
        <v>25</v>
      </c>
      <c r="B1" s="54"/>
      <c r="C1" s="54"/>
      <c r="D1" s="54"/>
      <c r="E1" s="55"/>
      <c r="F1" s="53" t="s">
        <v>26</v>
      </c>
      <c r="G1" s="54"/>
      <c r="H1" s="54"/>
      <c r="I1" s="54"/>
      <c r="J1" s="56"/>
      <c r="K1" t="s">
        <v>22</v>
      </c>
      <c r="M1" t="s">
        <v>15</v>
      </c>
      <c r="N1">
        <v>3600</v>
      </c>
    </row>
    <row r="2" spans="1:14" ht="16.5" thickBot="1" x14ac:dyDescent="0.45">
      <c r="A2" s="1" t="s">
        <v>2</v>
      </c>
      <c r="B2" s="2" t="s">
        <v>0</v>
      </c>
      <c r="C2" s="2" t="s">
        <v>1</v>
      </c>
      <c r="D2" s="2" t="s">
        <v>19</v>
      </c>
      <c r="E2" s="3" t="s">
        <v>20</v>
      </c>
      <c r="F2" s="1" t="s">
        <v>2</v>
      </c>
      <c r="G2" s="2" t="s">
        <v>0</v>
      </c>
      <c r="H2" s="2" t="s">
        <v>1</v>
      </c>
      <c r="I2" s="2" t="s">
        <v>19</v>
      </c>
      <c r="J2" s="6" t="s">
        <v>20</v>
      </c>
      <c r="M2" t="s">
        <v>5</v>
      </c>
      <c r="N2">
        <f xml:space="preserve"> 8100</f>
        <v>8100</v>
      </c>
    </row>
    <row r="3" spans="1:14" x14ac:dyDescent="0.4">
      <c r="A3" s="7" t="s">
        <v>3</v>
      </c>
      <c r="B3" s="4">
        <v>8808</v>
      </c>
      <c r="C3" s="4" t="s">
        <v>4</v>
      </c>
      <c r="D3" s="14">
        <f xml:space="preserve"> SUM(D4:D5)</f>
        <v>29065015382.399994</v>
      </c>
      <c r="E3" s="4" t="s">
        <v>8</v>
      </c>
      <c r="F3" s="7" t="s">
        <v>21</v>
      </c>
      <c r="G3" s="4">
        <v>9061.59</v>
      </c>
      <c r="H3" s="4" t="s">
        <v>4</v>
      </c>
      <c r="I3" s="14">
        <f xml:space="preserve"> SUM(I4:I7)</f>
        <v>28273822623.020599</v>
      </c>
      <c r="J3" s="8" t="s">
        <v>8</v>
      </c>
      <c r="M3" s="5" t="s">
        <v>6</v>
      </c>
      <c r="N3" s="5">
        <v>20</v>
      </c>
    </row>
    <row r="4" spans="1:14" x14ac:dyDescent="0.4">
      <c r="A4" s="9" t="s">
        <v>9</v>
      </c>
      <c r="B4" s="5">
        <f xml:space="preserve"> 0.055*B3</f>
        <v>484.44</v>
      </c>
      <c r="C4" s="5" t="s">
        <v>4</v>
      </c>
      <c r="D4" s="15">
        <f xml:space="preserve"> B4*N3*N2*N5</f>
        <v>4793514422.3999996</v>
      </c>
      <c r="E4" s="5" t="s">
        <v>8</v>
      </c>
      <c r="F4" s="9" t="s">
        <v>9</v>
      </c>
      <c r="G4" s="5">
        <f xml:space="preserve"> G3*0.0365398</f>
        <v>331.10868628200001</v>
      </c>
      <c r="H4" s="5" t="s">
        <v>4</v>
      </c>
      <c r="I4" s="15">
        <f xml:space="preserve"> G4*N2*N3*N5</f>
        <v>3276307206.4129386</v>
      </c>
      <c r="J4" s="10" t="s">
        <v>8</v>
      </c>
      <c r="M4" t="s">
        <v>7</v>
      </c>
      <c r="N4">
        <v>44</v>
      </c>
    </row>
    <row r="5" spans="1:14" x14ac:dyDescent="0.4">
      <c r="A5" s="9" t="s">
        <v>11</v>
      </c>
      <c r="B5" s="5">
        <f xml:space="preserve"> B3*0.945</f>
        <v>8323.56</v>
      </c>
      <c r="C5" s="5" t="s">
        <v>4</v>
      </c>
      <c r="D5" s="15">
        <f xml:space="preserve"> B5*N3*N2*N6</f>
        <v>24271500959.999996</v>
      </c>
      <c r="E5" s="5" t="s">
        <v>8</v>
      </c>
      <c r="F5" s="9" t="s">
        <v>11</v>
      </c>
      <c r="G5" s="5">
        <f xml:space="preserve"> G3*0.94603</f>
        <v>8572.535987700001</v>
      </c>
      <c r="H5" s="5" t="s">
        <v>4</v>
      </c>
      <c r="I5" s="15">
        <f>G5*N2*N3*N6</f>
        <v>24997514940.133205</v>
      </c>
      <c r="J5" s="10" t="s">
        <v>8</v>
      </c>
      <c r="M5" t="s">
        <v>10</v>
      </c>
      <c r="N5">
        <v>61.08</v>
      </c>
    </row>
    <row r="6" spans="1:14" x14ac:dyDescent="0.4">
      <c r="A6" s="7" t="s">
        <v>13</v>
      </c>
      <c r="B6" s="4">
        <v>840</v>
      </c>
      <c r="C6" s="4" t="s">
        <v>14</v>
      </c>
      <c r="D6" s="14">
        <f xml:space="preserve"> SUM(D7:D9)</f>
        <v>14724073728</v>
      </c>
      <c r="E6" s="4" t="s">
        <v>8</v>
      </c>
      <c r="F6" s="9" t="s">
        <v>16</v>
      </c>
      <c r="G6" s="5">
        <f xml:space="preserve"> G3*0.00000000666</f>
        <v>6.03501894E-5</v>
      </c>
      <c r="H6" s="5" t="s">
        <v>4</v>
      </c>
      <c r="I6" s="15">
        <f>G6*N2*N3*N4</f>
        <v>430.17615004319998</v>
      </c>
      <c r="J6" s="10" t="s">
        <v>8</v>
      </c>
      <c r="M6" t="s">
        <v>12</v>
      </c>
      <c r="N6">
        <v>18</v>
      </c>
    </row>
    <row r="7" spans="1:14" x14ac:dyDescent="0.4">
      <c r="A7" s="9" t="s">
        <v>11</v>
      </c>
      <c r="B7" s="5">
        <f xml:space="preserve"> B6*0.1</f>
        <v>84</v>
      </c>
      <c r="C7" s="5" t="s">
        <v>14</v>
      </c>
      <c r="D7" s="15">
        <f xml:space="preserve"> B7*N1*N2*N3*N6/1000</f>
        <v>881798400</v>
      </c>
      <c r="E7" s="5" t="s">
        <v>8</v>
      </c>
      <c r="F7" s="9" t="s">
        <v>17</v>
      </c>
      <c r="G7" s="5">
        <f xml:space="preserve"> G3*0.000000001126387</f>
        <v>1.020685717533E-5</v>
      </c>
      <c r="H7" s="5" t="s">
        <v>4</v>
      </c>
      <c r="I7" s="15">
        <f>G7*N2*N3*N7</f>
        <v>46.298304147296882</v>
      </c>
      <c r="J7" s="10" t="s">
        <v>8</v>
      </c>
      <c r="M7" t="s">
        <v>18</v>
      </c>
      <c r="N7">
        <v>28</v>
      </c>
    </row>
    <row r="8" spans="1:14" x14ac:dyDescent="0.4">
      <c r="A8" s="9" t="s">
        <v>16</v>
      </c>
      <c r="B8" s="5">
        <f xml:space="preserve"> B6*0.191</f>
        <v>160.44</v>
      </c>
      <c r="C8" s="5" t="s">
        <v>14</v>
      </c>
      <c r="D8" s="15">
        <f>B8*N1*N2*N3*N4/1000</f>
        <v>4117018752</v>
      </c>
      <c r="E8" s="5" t="s">
        <v>8</v>
      </c>
      <c r="F8" s="7" t="s">
        <v>23</v>
      </c>
      <c r="G8" s="4">
        <v>36246.400000000001</v>
      </c>
      <c r="H8" s="4" t="s">
        <v>4</v>
      </c>
      <c r="I8" s="14">
        <f xml:space="preserve"> SUM(I9:I12)</f>
        <v>352405222441.11847</v>
      </c>
      <c r="J8" s="8" t="s">
        <v>8</v>
      </c>
      <c r="M8" t="s">
        <v>33</v>
      </c>
      <c r="N8">
        <v>0.45359237000000002</v>
      </c>
    </row>
    <row r="9" spans="1:14" ht="16.5" thickBot="1" x14ac:dyDescent="0.45">
      <c r="A9" s="11" t="s">
        <v>17</v>
      </c>
      <c r="B9" s="12">
        <f xml:space="preserve"> B6*0.709</f>
        <v>595.55999999999995</v>
      </c>
      <c r="C9" s="12" t="s">
        <v>14</v>
      </c>
      <c r="D9" s="16">
        <f xml:space="preserve"> B9*N1*N2*N3*N7/1000</f>
        <v>9725256576</v>
      </c>
      <c r="E9" s="12" t="s">
        <v>8</v>
      </c>
      <c r="F9" s="9" t="s">
        <v>9</v>
      </c>
      <c r="G9" s="5">
        <f>G8*0.0365398</f>
        <v>1324.43620672</v>
      </c>
      <c r="H9" s="5" t="s">
        <v>4</v>
      </c>
      <c r="I9" s="15">
        <f xml:space="preserve"> G9*N2*N3*N5</f>
        <v>13105243288.046131</v>
      </c>
      <c r="J9" s="10" t="s">
        <v>8</v>
      </c>
    </row>
    <row r="10" spans="1:14" x14ac:dyDescent="0.4">
      <c r="A10" s="48" t="s">
        <v>24</v>
      </c>
      <c r="B10" s="49"/>
      <c r="C10" s="49"/>
      <c r="D10" s="49"/>
      <c r="E10" s="50"/>
      <c r="F10" s="9" t="s">
        <v>11</v>
      </c>
      <c r="G10" s="5">
        <f xml:space="preserve"> G8*0.94603</f>
        <v>34290.181792000003</v>
      </c>
      <c r="H10" s="5" t="s">
        <v>4</v>
      </c>
      <c r="I10" s="15">
        <f xml:space="preserve"> G10*N2*N3*N5</f>
        <v>339299977224.56836</v>
      </c>
      <c r="J10" s="10" t="s">
        <v>8</v>
      </c>
    </row>
    <row r="11" spans="1:14" x14ac:dyDescent="0.4">
      <c r="A11" s="51" t="s">
        <v>68</v>
      </c>
      <c r="B11" s="51"/>
      <c r="C11" s="51"/>
      <c r="D11" s="51"/>
      <c r="E11" s="52"/>
      <c r="F11" s="9" t="s">
        <v>16</v>
      </c>
      <c r="G11" s="5">
        <f>G8*0.00000000666</f>
        <v>2.4140102399999999E-4</v>
      </c>
      <c r="H11" s="5" t="s">
        <v>4</v>
      </c>
      <c r="I11" s="15">
        <f>G11*N2*N3*N4</f>
        <v>1720.7064990719998</v>
      </c>
      <c r="J11" s="10" t="s">
        <v>8</v>
      </c>
    </row>
    <row r="12" spans="1:14" ht="16.5" thickBot="1" x14ac:dyDescent="0.45">
      <c r="A12" s="5" t="s">
        <v>27</v>
      </c>
      <c r="B12" s="5">
        <v>2093400</v>
      </c>
      <c r="C12" s="5" t="s">
        <v>32</v>
      </c>
      <c r="D12" s="5">
        <f xml:space="preserve"> B12*N8</f>
        <v>949550.26735800004</v>
      </c>
      <c r="E12" s="5" t="s">
        <v>8</v>
      </c>
      <c r="F12" s="9" t="s">
        <v>17</v>
      </c>
      <c r="G12" s="5">
        <f xml:space="preserve"> G8*0.00000000126387</f>
        <v>4.5810737568000006E-5</v>
      </c>
      <c r="H12" s="5" t="s">
        <v>4</v>
      </c>
      <c r="I12" s="15">
        <f xml:space="preserve"> G12*N2*N3*N7</f>
        <v>207.79750560844801</v>
      </c>
      <c r="J12" s="10" t="s">
        <v>8</v>
      </c>
    </row>
    <row r="13" spans="1:14" x14ac:dyDescent="0.4">
      <c r="A13" s="48" t="s">
        <v>28</v>
      </c>
      <c r="B13" s="49"/>
      <c r="C13" s="49"/>
      <c r="D13" s="49"/>
      <c r="E13" s="50"/>
      <c r="F13" s="40" t="s">
        <v>16</v>
      </c>
      <c r="G13" s="34">
        <v>505.49200000000002</v>
      </c>
      <c r="H13" s="34" t="s">
        <v>4</v>
      </c>
      <c r="I13" s="41">
        <f xml:space="preserve"> SUM(I14:I17)</f>
        <v>3582345086.4481764</v>
      </c>
      <c r="J13" s="36" t="s">
        <v>8</v>
      </c>
    </row>
    <row r="14" spans="1:14" x14ac:dyDescent="0.4">
      <c r="A14" s="51" t="s">
        <v>34</v>
      </c>
      <c r="B14" s="51"/>
      <c r="C14" s="51"/>
      <c r="D14" s="51"/>
      <c r="E14" s="52"/>
      <c r="F14" s="42" t="s">
        <v>9</v>
      </c>
      <c r="G14" s="37">
        <f xml:space="preserve"> G13*0.000000000003737</f>
        <v>1.8890236039999998E-9</v>
      </c>
      <c r="H14" s="37" t="s">
        <v>4</v>
      </c>
      <c r="I14" s="43">
        <f xml:space="preserve"> G14*N2*N3*N5</f>
        <v>1.8691813000635837E-2</v>
      </c>
      <c r="J14" s="39" t="s">
        <v>8</v>
      </c>
    </row>
    <row r="15" spans="1:14" ht="16.5" thickBot="1" x14ac:dyDescent="0.45">
      <c r="A15" s="5" t="s">
        <v>29</v>
      </c>
      <c r="B15" s="17">
        <v>4.0000000000000001E-10</v>
      </c>
      <c r="C15" s="5" t="s">
        <v>8</v>
      </c>
      <c r="D15" s="17">
        <v>4.0000000000000001E-10</v>
      </c>
      <c r="E15" s="5" t="s">
        <v>8</v>
      </c>
      <c r="F15" s="42" t="s">
        <v>11</v>
      </c>
      <c r="G15" s="37">
        <f xml:space="preserve"> G13*0.00878377</f>
        <v>4.4401254648400004</v>
      </c>
      <c r="H15" s="37" t="s">
        <v>4</v>
      </c>
      <c r="I15" s="43">
        <f>G15*N2*N3*N6</f>
        <v>12947405.85547344</v>
      </c>
      <c r="J15" s="39" t="s">
        <v>8</v>
      </c>
    </row>
    <row r="16" spans="1:14" x14ac:dyDescent="0.4">
      <c r="A16" s="48" t="s">
        <v>30</v>
      </c>
      <c r="B16" s="49"/>
      <c r="C16" s="49"/>
      <c r="D16" s="49"/>
      <c r="E16" s="50"/>
      <c r="F16" s="42" t="s">
        <v>16</v>
      </c>
      <c r="G16" s="37">
        <f xml:space="preserve"> G13*0.989613</f>
        <v>500.24145459599998</v>
      </c>
      <c r="H16" s="37" t="s">
        <v>4</v>
      </c>
      <c r="I16" s="43">
        <f>G16*N4*N2*N3</f>
        <v>3565721088.3602877</v>
      </c>
      <c r="J16" s="39" t="s">
        <v>8</v>
      </c>
    </row>
    <row r="17" spans="1:10" ht="16.5" thickBot="1" x14ac:dyDescent="0.45">
      <c r="A17" s="4" t="s">
        <v>31</v>
      </c>
      <c r="B17" s="4"/>
      <c r="C17" s="4"/>
      <c r="D17" s="4"/>
      <c r="E17" s="4"/>
      <c r="F17" s="44" t="s">
        <v>17</v>
      </c>
      <c r="G17" s="45">
        <f xml:space="preserve"> G13*0.00160346</f>
        <v>0.81053620232000001</v>
      </c>
      <c r="H17" s="45" t="s">
        <v>4</v>
      </c>
      <c r="I17" s="46">
        <f xml:space="preserve"> G17*N2*N3*N7</f>
        <v>3676592.2137235207</v>
      </c>
      <c r="J17" s="47" t="s">
        <v>8</v>
      </c>
    </row>
    <row r="18" spans="1:10" x14ac:dyDescent="0.4">
      <c r="A18" s="5" t="s">
        <v>39</v>
      </c>
      <c r="B18" s="5">
        <v>89.62</v>
      </c>
      <c r="C18" s="5" t="s">
        <v>35</v>
      </c>
      <c r="D18" s="5">
        <f>B18*N1*N3*N2/1000</f>
        <v>52266384</v>
      </c>
      <c r="E18" s="5" t="s">
        <v>38</v>
      </c>
      <c r="F18" s="48" t="s">
        <v>40</v>
      </c>
      <c r="G18" s="49"/>
      <c r="H18" s="49"/>
      <c r="I18" s="49"/>
      <c r="J18" s="50"/>
    </row>
    <row r="19" spans="1:10" x14ac:dyDescent="0.4">
      <c r="A19" s="5" t="s">
        <v>36</v>
      </c>
      <c r="B19" s="5">
        <v>1000.74</v>
      </c>
      <c r="C19" s="5" t="s">
        <v>37</v>
      </c>
      <c r="D19" s="5">
        <f>(B19/1000)*N8*N2*N3</f>
        <v>73536.340593315603</v>
      </c>
      <c r="E19" s="5" t="s">
        <v>8</v>
      </c>
      <c r="F19" s="51" t="s">
        <v>41</v>
      </c>
      <c r="G19" s="51"/>
      <c r="H19" s="51"/>
      <c r="I19" s="51"/>
      <c r="J19" s="52"/>
    </row>
    <row r="20" spans="1:10" x14ac:dyDescent="0.4">
      <c r="F20" s="5" t="s">
        <v>42</v>
      </c>
      <c r="G20" s="5">
        <v>2093400</v>
      </c>
      <c r="H20" s="5" t="s">
        <v>32</v>
      </c>
      <c r="I20" s="5">
        <f xml:space="preserve"> G20*N8</f>
        <v>949550.26735800004</v>
      </c>
      <c r="J20" s="5" t="s">
        <v>8</v>
      </c>
    </row>
    <row r="23" spans="1:10" x14ac:dyDescent="0.4">
      <c r="G23" s="19"/>
      <c r="I23" s="19"/>
    </row>
  </sheetData>
  <mergeCells count="9">
    <mergeCell ref="F19:J19"/>
    <mergeCell ref="A1:E1"/>
    <mergeCell ref="F1:J1"/>
    <mergeCell ref="A10:E10"/>
    <mergeCell ref="A13:E13"/>
    <mergeCell ref="A16:E16"/>
    <mergeCell ref="A11:E11"/>
    <mergeCell ref="A14:E14"/>
    <mergeCell ref="F18:J18"/>
  </mergeCells>
  <pageMargins left="0.7" right="0.7" top="0.75" bottom="0.75" header="0.3" footer="0.3"/>
  <ignoredErrors>
    <ignoredError sqref="G10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528DE6-B0A5-8047-962A-12C25E2CBC52}">
  <dimension ref="A1:N23"/>
  <sheetViews>
    <sheetView zoomScale="163" workbookViewId="0">
      <selection activeCell="H24" sqref="H24"/>
    </sheetView>
  </sheetViews>
  <sheetFormatPr defaultColWidth="10.6640625" defaultRowHeight="16" x14ac:dyDescent="0.4"/>
  <cols>
    <col min="1" max="1" width="23.33203125" customWidth="1"/>
    <col min="2" max="2" width="10.83203125" customWidth="1"/>
    <col min="4" max="4" width="26.33203125" customWidth="1"/>
    <col min="5" max="5" width="14.1640625" customWidth="1"/>
    <col min="6" max="6" width="19.6640625" customWidth="1"/>
    <col min="7" max="7" width="12.1640625" bestFit="1" customWidth="1"/>
    <col min="9" max="9" width="25.5" customWidth="1"/>
    <col min="10" max="10" width="12.83203125" customWidth="1"/>
    <col min="13" max="13" width="24.33203125" customWidth="1"/>
  </cols>
  <sheetData>
    <row r="1" spans="1:14" x14ac:dyDescent="0.4">
      <c r="A1" s="53" t="s">
        <v>25</v>
      </c>
      <c r="B1" s="54"/>
      <c r="C1" s="54"/>
      <c r="D1" s="54"/>
      <c r="E1" s="55"/>
      <c r="F1" s="53" t="s">
        <v>26</v>
      </c>
      <c r="G1" s="54"/>
      <c r="H1" s="54"/>
      <c r="I1" s="54"/>
      <c r="J1" s="56"/>
      <c r="K1" t="s">
        <v>22</v>
      </c>
      <c r="M1" t="s">
        <v>15</v>
      </c>
      <c r="N1">
        <v>3600</v>
      </c>
    </row>
    <row r="2" spans="1:14" ht="16.5" thickBot="1" x14ac:dyDescent="0.45">
      <c r="A2" s="1" t="s">
        <v>2</v>
      </c>
      <c r="B2" s="2" t="s">
        <v>0</v>
      </c>
      <c r="C2" s="2" t="s">
        <v>1</v>
      </c>
      <c r="D2" s="2" t="s">
        <v>19</v>
      </c>
      <c r="E2" s="3" t="s">
        <v>20</v>
      </c>
      <c r="F2" s="1" t="s">
        <v>2</v>
      </c>
      <c r="G2" s="2" t="s">
        <v>0</v>
      </c>
      <c r="H2" s="2" t="s">
        <v>1</v>
      </c>
      <c r="I2" s="2" t="s">
        <v>19</v>
      </c>
      <c r="J2" s="6" t="s">
        <v>20</v>
      </c>
      <c r="M2" t="s">
        <v>5</v>
      </c>
      <c r="N2">
        <f xml:space="preserve"> 8100</f>
        <v>8100</v>
      </c>
    </row>
    <row r="3" spans="1:14" x14ac:dyDescent="0.4">
      <c r="A3" s="7" t="s">
        <v>3</v>
      </c>
      <c r="B3" s="4">
        <v>8808</v>
      </c>
      <c r="C3" s="4" t="s">
        <v>4</v>
      </c>
      <c r="D3" s="14">
        <f xml:space="preserve"> SUM(D4:D5)</f>
        <v>29051344440.221184</v>
      </c>
      <c r="E3" s="4" t="s">
        <v>8</v>
      </c>
      <c r="F3" s="7" t="s">
        <v>21</v>
      </c>
      <c r="G3" s="4">
        <v>9057.74</v>
      </c>
      <c r="H3" s="4" t="s">
        <v>4</v>
      </c>
      <c r="I3" s="14">
        <f xml:space="preserve"> SUM(I4:I7)</f>
        <v>28264527551.561802</v>
      </c>
      <c r="J3" s="8" t="s">
        <v>8</v>
      </c>
      <c r="M3" s="5" t="s">
        <v>6</v>
      </c>
      <c r="N3" s="5">
        <v>20</v>
      </c>
    </row>
    <row r="4" spans="1:14" x14ac:dyDescent="0.4">
      <c r="A4" s="9" t="s">
        <v>9</v>
      </c>
      <c r="B4" s="5">
        <f xml:space="preserve"> 0.0548788*B3</f>
        <v>483.3724704</v>
      </c>
      <c r="C4" s="5" t="s">
        <v>4</v>
      </c>
      <c r="D4" s="15">
        <f xml:space="preserve"> B4*N3*N2*N5</f>
        <v>4782951259.7091846</v>
      </c>
      <c r="E4" s="5" t="s">
        <v>8</v>
      </c>
      <c r="F4" s="9" t="s">
        <v>9</v>
      </c>
      <c r="G4" s="5">
        <f xml:space="preserve"> G3*0.0365769</f>
        <v>331.304050206</v>
      </c>
      <c r="H4" s="5" t="s">
        <v>4</v>
      </c>
      <c r="I4" s="15">
        <f xml:space="preserve"> G4*N2*N3*N5</f>
        <v>3278240324.6263618</v>
      </c>
      <c r="J4" s="10" t="s">
        <v>8</v>
      </c>
      <c r="M4" t="s">
        <v>7</v>
      </c>
      <c r="N4">
        <v>44</v>
      </c>
    </row>
    <row r="5" spans="1:14" x14ac:dyDescent="0.4">
      <c r="A5" s="9" t="s">
        <v>11</v>
      </c>
      <c r="B5" s="5">
        <f xml:space="preserve"> B3*0.944879</f>
        <v>8322.4942320000009</v>
      </c>
      <c r="C5" s="5" t="s">
        <v>4</v>
      </c>
      <c r="D5" s="15">
        <f xml:space="preserve"> B5*N3*N2*N6</f>
        <v>24268393180.512001</v>
      </c>
      <c r="E5" s="5" t="s">
        <v>8</v>
      </c>
      <c r="F5" s="9" t="s">
        <v>11</v>
      </c>
      <c r="G5" s="5">
        <f xml:space="preserve"> G3*0.946007</f>
        <v>8568.6854441800006</v>
      </c>
      <c r="H5" s="5" t="s">
        <v>4</v>
      </c>
      <c r="I5" s="15">
        <f>G5*N2*N3*N6</f>
        <v>24986286755.228886</v>
      </c>
      <c r="J5" s="10" t="s">
        <v>8</v>
      </c>
      <c r="M5" t="s">
        <v>10</v>
      </c>
      <c r="N5">
        <v>61.08</v>
      </c>
    </row>
    <row r="6" spans="1:14" x14ac:dyDescent="0.4">
      <c r="A6" s="7" t="s">
        <v>13</v>
      </c>
      <c r="B6" s="4">
        <v>840</v>
      </c>
      <c r="C6" s="4" t="s">
        <v>14</v>
      </c>
      <c r="D6" s="14">
        <f xml:space="preserve"> SUM(D7:D9)</f>
        <v>14724071964.4032</v>
      </c>
      <c r="E6" s="4" t="s">
        <v>8</v>
      </c>
      <c r="F6" s="9" t="s">
        <v>16</v>
      </c>
      <c r="G6" s="5">
        <f xml:space="preserve"> G3*0.00000000663875</f>
        <v>6.0132071424999995E-5</v>
      </c>
      <c r="H6" s="5" t="s">
        <v>4</v>
      </c>
      <c r="I6" s="15">
        <f>G6*N2*N3*N4</f>
        <v>428.62140511739995</v>
      </c>
      <c r="J6" s="10" t="s">
        <v>8</v>
      </c>
      <c r="M6" t="s">
        <v>12</v>
      </c>
      <c r="N6">
        <v>18</v>
      </c>
    </row>
    <row r="7" spans="1:14" x14ac:dyDescent="0.4">
      <c r="A7" s="9" t="s">
        <v>11</v>
      </c>
      <c r="B7" s="5">
        <f xml:space="preserve"> B6*0.0999998</f>
        <v>83.999831999999998</v>
      </c>
      <c r="C7" s="5" t="s">
        <v>14</v>
      </c>
      <c r="D7" s="15">
        <f xml:space="preserve"> B7*N1*N2*N3*N6/1000</f>
        <v>881796636.40319991</v>
      </c>
      <c r="E7" s="5" t="s">
        <v>8</v>
      </c>
      <c r="F7" s="9" t="s">
        <v>17</v>
      </c>
      <c r="G7" s="5">
        <f xml:space="preserve"> G3*0.00000000104866</f>
        <v>9.4984896284000001E-6</v>
      </c>
      <c r="H7" s="5" t="s">
        <v>4</v>
      </c>
      <c r="I7" s="15">
        <f>G7*N2*N3*N7</f>
        <v>43.085148954422401</v>
      </c>
      <c r="J7" s="10" t="s">
        <v>8</v>
      </c>
      <c r="M7" t="s">
        <v>18</v>
      </c>
      <c r="N7">
        <v>28</v>
      </c>
    </row>
    <row r="8" spans="1:14" x14ac:dyDescent="0.4">
      <c r="A8" s="9" t="s">
        <v>16</v>
      </c>
      <c r="B8" s="5">
        <f xml:space="preserve"> B6*0.191</f>
        <v>160.44</v>
      </c>
      <c r="C8" s="5" t="s">
        <v>14</v>
      </c>
      <c r="D8" s="15">
        <f>B8*N1*N2*N3*N4/1000</f>
        <v>4117018752</v>
      </c>
      <c r="E8" s="5" t="s">
        <v>8</v>
      </c>
      <c r="F8" s="7" t="s">
        <v>23</v>
      </c>
      <c r="G8" s="4">
        <v>36230.9</v>
      </c>
      <c r="H8" s="4" t="s">
        <v>4</v>
      </c>
      <c r="I8" s="14">
        <f xml:space="preserve"> SUM(I9:I12)</f>
        <v>352259578718.59875</v>
      </c>
      <c r="J8" s="8" t="s">
        <v>8</v>
      </c>
      <c r="M8" t="s">
        <v>33</v>
      </c>
      <c r="N8">
        <v>0.45359237000000002</v>
      </c>
    </row>
    <row r="9" spans="1:14" ht="16.5" thickBot="1" x14ac:dyDescent="0.45">
      <c r="A9" s="11" t="s">
        <v>17</v>
      </c>
      <c r="B9" s="12">
        <f xml:space="preserve"> B6*0.709</f>
        <v>595.55999999999995</v>
      </c>
      <c r="C9" s="12" t="s">
        <v>14</v>
      </c>
      <c r="D9" s="16">
        <f xml:space="preserve"> B9*N1*N2*N3*N7/1000</f>
        <v>9725256576</v>
      </c>
      <c r="E9" s="12" t="s">
        <v>8</v>
      </c>
      <c r="F9" s="9" t="s">
        <v>9</v>
      </c>
      <c r="G9" s="5">
        <f>G8*0.0365769</f>
        <v>1325.2140062100002</v>
      </c>
      <c r="H9" s="5" t="s">
        <v>4</v>
      </c>
      <c r="I9" s="15">
        <f xml:space="preserve"> G9*N2*N3*N5</f>
        <v>13112939582.887701</v>
      </c>
      <c r="J9" s="10" t="s">
        <v>8</v>
      </c>
      <c r="M9" t="s">
        <v>74</v>
      </c>
      <c r="N9">
        <v>1.0550600000000001</v>
      </c>
    </row>
    <row r="10" spans="1:14" x14ac:dyDescent="0.4">
      <c r="A10" s="48" t="s">
        <v>24</v>
      </c>
      <c r="B10" s="49"/>
      <c r="C10" s="49"/>
      <c r="D10" s="49"/>
      <c r="E10" s="50"/>
      <c r="F10" s="9" t="s">
        <v>11</v>
      </c>
      <c r="G10" s="5">
        <f xml:space="preserve"> G8*0.946007</f>
        <v>34274.685016300005</v>
      </c>
      <c r="H10" s="5" t="s">
        <v>4</v>
      </c>
      <c r="I10" s="15">
        <f xml:space="preserve"> G10*N2*N3*N5</f>
        <v>339146637248.88794</v>
      </c>
      <c r="J10" s="10" t="s">
        <v>8</v>
      </c>
    </row>
    <row r="11" spans="1:14" x14ac:dyDescent="0.4">
      <c r="A11" s="51" t="s">
        <v>68</v>
      </c>
      <c r="B11" s="51"/>
      <c r="C11" s="51"/>
      <c r="D11" s="51"/>
      <c r="E11" s="52"/>
      <c r="F11" s="9" t="s">
        <v>16</v>
      </c>
      <c r="G11" s="5">
        <f>G8*0.00000000663875</f>
        <v>2.4052788737499999E-4</v>
      </c>
      <c r="H11" s="5" t="s">
        <v>4</v>
      </c>
      <c r="I11" s="15">
        <f>G11*N2*N3*N4</f>
        <v>1714.4827812089998</v>
      </c>
      <c r="J11" s="10" t="s">
        <v>8</v>
      </c>
    </row>
    <row r="12" spans="1:14" ht="16.5" thickBot="1" x14ac:dyDescent="0.45">
      <c r="A12" s="5" t="s">
        <v>27</v>
      </c>
      <c r="B12" s="5">
        <v>961500</v>
      </c>
      <c r="C12" s="5" t="s">
        <v>32</v>
      </c>
      <c r="D12" s="5">
        <f xml:space="preserve"> B12*N8</f>
        <v>436129.06375500001</v>
      </c>
      <c r="E12" s="5" t="s">
        <v>8</v>
      </c>
      <c r="F12" s="9" t="s">
        <v>17</v>
      </c>
      <c r="G12" s="5">
        <f xml:space="preserve"> G8*0.00000000104866</f>
        <v>3.7993895594000003E-5</v>
      </c>
      <c r="H12" s="5" t="s">
        <v>4</v>
      </c>
      <c r="I12" s="15">
        <f xml:space="preserve"> G12*N2*N3*N7</f>
        <v>172.34031041438402</v>
      </c>
      <c r="J12" s="10" t="s">
        <v>8</v>
      </c>
    </row>
    <row r="13" spans="1:14" x14ac:dyDescent="0.4">
      <c r="A13" s="48" t="s">
        <v>28</v>
      </c>
      <c r="B13" s="49"/>
      <c r="C13" s="49"/>
      <c r="D13" s="49"/>
      <c r="E13" s="50"/>
      <c r="F13" s="40" t="s">
        <v>16</v>
      </c>
      <c r="G13" s="34">
        <v>505.49200000000002</v>
      </c>
      <c r="H13" s="34" t="s">
        <v>4</v>
      </c>
      <c r="I13" s="41">
        <f xml:space="preserve"> SUM(I14:I17)</f>
        <v>3566299134.8035965</v>
      </c>
      <c r="J13" s="36" t="s">
        <v>8</v>
      </c>
    </row>
    <row r="14" spans="1:14" x14ac:dyDescent="0.4">
      <c r="A14" s="51" t="s">
        <v>34</v>
      </c>
      <c r="B14" s="51"/>
      <c r="C14" s="51"/>
      <c r="D14" s="51"/>
      <c r="E14" s="52"/>
      <c r="F14" s="42" t="s">
        <v>9</v>
      </c>
      <c r="G14" s="37">
        <f xml:space="preserve"> G13*0.0000000000250159</f>
        <v>1.2645337322799999E-8</v>
      </c>
      <c r="H14" s="37" t="s">
        <v>4</v>
      </c>
      <c r="I14" s="43">
        <f xml:space="preserve"> G14*N2*N3*N5</f>
        <v>0.12512510699561308</v>
      </c>
      <c r="J14" s="39" t="s">
        <v>8</v>
      </c>
    </row>
    <row r="15" spans="1:14" ht="16.5" thickBot="1" x14ac:dyDescent="0.45">
      <c r="A15" s="5" t="s">
        <v>29</v>
      </c>
      <c r="B15" s="17">
        <v>4.0000000000000001E-10</v>
      </c>
      <c r="C15" s="5" t="s">
        <v>8</v>
      </c>
      <c r="D15" s="17">
        <v>4.0000000000000001E-10</v>
      </c>
      <c r="E15" s="5" t="s">
        <v>8</v>
      </c>
      <c r="F15" s="42" t="s">
        <v>11</v>
      </c>
      <c r="G15" s="37">
        <f xml:space="preserve"> G13*0.0163275</f>
        <v>8.2534206300000008</v>
      </c>
      <c r="H15" s="37" t="s">
        <v>4</v>
      </c>
      <c r="I15" s="43">
        <f>G15*N2*N3*N6</f>
        <v>24066974.557080004</v>
      </c>
      <c r="J15" s="39" t="s">
        <v>8</v>
      </c>
    </row>
    <row r="16" spans="1:14" x14ac:dyDescent="0.4">
      <c r="A16" s="48" t="s">
        <v>30</v>
      </c>
      <c r="B16" s="49"/>
      <c r="C16" s="49"/>
      <c r="D16" s="49"/>
      <c r="E16" s="50"/>
      <c r="F16" s="42" t="s">
        <v>16</v>
      </c>
      <c r="G16" s="37">
        <f xml:space="preserve"> G13*0.982082</f>
        <v>496.434594344</v>
      </c>
      <c r="H16" s="37" t="s">
        <v>4</v>
      </c>
      <c r="I16" s="43">
        <f>G16*N4*N2*N3</f>
        <v>3538585788.4840322</v>
      </c>
      <c r="J16" s="39" t="s">
        <v>8</v>
      </c>
    </row>
    <row r="17" spans="1:10" ht="16.5" thickBot="1" x14ac:dyDescent="0.45">
      <c r="A17" s="4" t="s">
        <v>31</v>
      </c>
      <c r="B17" s="4"/>
      <c r="C17" s="4"/>
      <c r="D17" s="4"/>
      <c r="E17" s="4"/>
      <c r="F17" s="44" t="s">
        <v>17</v>
      </c>
      <c r="G17" s="45">
        <f xml:space="preserve"> G13*0.00159028</f>
        <v>0.80387381776</v>
      </c>
      <c r="H17" s="45" t="s">
        <v>4</v>
      </c>
      <c r="I17" s="46">
        <f xml:space="preserve"> G17*N2*N3*N7</f>
        <v>3646371.6373593602</v>
      </c>
      <c r="J17" s="47" t="s">
        <v>8</v>
      </c>
    </row>
    <row r="18" spans="1:10" x14ac:dyDescent="0.4">
      <c r="A18" s="5" t="s">
        <v>39</v>
      </c>
      <c r="B18" s="5">
        <v>89.62</v>
      </c>
      <c r="C18" s="5" t="s">
        <v>35</v>
      </c>
      <c r="D18" s="5">
        <f>B18*N1*N3*N2/1000</f>
        <v>52266384</v>
      </c>
      <c r="E18" s="5" t="s">
        <v>38</v>
      </c>
      <c r="F18" s="48" t="s">
        <v>40</v>
      </c>
      <c r="G18" s="49"/>
      <c r="H18" s="49"/>
      <c r="I18" s="49"/>
      <c r="J18" s="50"/>
    </row>
    <row r="19" spans="1:10" x14ac:dyDescent="0.4">
      <c r="A19" s="5" t="s">
        <v>72</v>
      </c>
      <c r="B19" s="17">
        <v>72878400</v>
      </c>
      <c r="C19" s="5" t="s">
        <v>73</v>
      </c>
      <c r="D19" s="17">
        <f>(B19/1000)*N9*N2*N3</f>
        <v>12456355722.048</v>
      </c>
      <c r="E19" s="5" t="s">
        <v>38</v>
      </c>
      <c r="F19" s="51" t="s">
        <v>41</v>
      </c>
      <c r="G19" s="51"/>
      <c r="H19" s="51"/>
      <c r="I19" s="51"/>
      <c r="J19" s="52"/>
    </row>
    <row r="20" spans="1:10" x14ac:dyDescent="0.4">
      <c r="F20" s="5" t="s">
        <v>42</v>
      </c>
      <c r="G20" s="5">
        <f>B12</f>
        <v>961500</v>
      </c>
      <c r="H20" s="5" t="s">
        <v>32</v>
      </c>
      <c r="I20" s="5">
        <f xml:space="preserve"> G20*N8</f>
        <v>436129.06375500001</v>
      </c>
      <c r="J20" s="5" t="s">
        <v>8</v>
      </c>
    </row>
    <row r="23" spans="1:10" x14ac:dyDescent="0.4">
      <c r="G23" s="19"/>
      <c r="I23" s="19"/>
    </row>
  </sheetData>
  <mergeCells count="9">
    <mergeCell ref="A16:E16"/>
    <mergeCell ref="F18:J18"/>
    <mergeCell ref="F19:J19"/>
    <mergeCell ref="A1:E1"/>
    <mergeCell ref="F1:J1"/>
    <mergeCell ref="A10:E10"/>
    <mergeCell ref="A11:E11"/>
    <mergeCell ref="A13:E13"/>
    <mergeCell ref="A14:E1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A3FF21-094D-A248-A646-679E802CA5CB}">
  <dimension ref="A1:N22"/>
  <sheetViews>
    <sheetView topLeftCell="A6" zoomScale="193" workbookViewId="0">
      <selection activeCell="I29" sqref="I29"/>
    </sheetView>
  </sheetViews>
  <sheetFormatPr defaultColWidth="10.6640625" defaultRowHeight="16" x14ac:dyDescent="0.4"/>
  <cols>
    <col min="1" max="1" width="24.33203125" customWidth="1"/>
    <col min="2" max="2" width="21.83203125" customWidth="1"/>
    <col min="3" max="3" width="12.6640625" customWidth="1"/>
    <col min="4" max="4" width="31" customWidth="1"/>
    <col min="5" max="5" width="21.83203125" customWidth="1"/>
    <col min="9" max="11" width="31.33203125" customWidth="1"/>
    <col min="13" max="13" width="23" customWidth="1"/>
  </cols>
  <sheetData>
    <row r="1" spans="1:14" x14ac:dyDescent="0.4">
      <c r="A1" s="53" t="s">
        <v>25</v>
      </c>
      <c r="B1" s="54"/>
      <c r="C1" s="54"/>
      <c r="D1" s="54"/>
      <c r="E1" s="55"/>
      <c r="F1" s="53" t="s">
        <v>26</v>
      </c>
      <c r="G1" s="54"/>
      <c r="H1" s="54"/>
      <c r="I1" s="54"/>
      <c r="J1" s="56"/>
      <c r="K1" t="s">
        <v>22</v>
      </c>
      <c r="M1" t="s">
        <v>15</v>
      </c>
      <c r="N1">
        <v>3600</v>
      </c>
    </row>
    <row r="2" spans="1:14" ht="16.5" thickBot="1" x14ac:dyDescent="0.45">
      <c r="A2" s="30" t="s">
        <v>2</v>
      </c>
      <c r="B2" s="31" t="s">
        <v>0</v>
      </c>
      <c r="C2" s="31" t="s">
        <v>1</v>
      </c>
      <c r="D2" s="31" t="s">
        <v>19</v>
      </c>
      <c r="E2" s="32" t="s">
        <v>20</v>
      </c>
      <c r="F2" s="1" t="s">
        <v>2</v>
      </c>
      <c r="G2" s="2" t="s">
        <v>0</v>
      </c>
      <c r="H2" s="2" t="s">
        <v>1</v>
      </c>
      <c r="I2" s="2" t="s">
        <v>19</v>
      </c>
      <c r="J2" s="6" t="s">
        <v>20</v>
      </c>
      <c r="M2" t="s">
        <v>5</v>
      </c>
      <c r="N2">
        <f xml:space="preserve"> 8100</f>
        <v>8100</v>
      </c>
    </row>
    <row r="3" spans="1:14" x14ac:dyDescent="0.4">
      <c r="A3" s="20" t="s">
        <v>78</v>
      </c>
      <c r="B3" s="21">
        <v>80</v>
      </c>
      <c r="C3" s="21" t="s">
        <v>79</v>
      </c>
      <c r="D3" s="33">
        <f xml:space="preserve"> SUM(D4:D4)</f>
        <v>18800424</v>
      </c>
      <c r="E3" s="22" t="s">
        <v>8</v>
      </c>
      <c r="F3" s="21" t="s">
        <v>91</v>
      </c>
      <c r="G3" s="21">
        <v>4.7808099999999998</v>
      </c>
      <c r="H3" s="21" t="s">
        <v>85</v>
      </c>
      <c r="I3" s="33">
        <f xml:space="preserve"> SUM(I4:I5)</f>
        <v>80434431245.917725</v>
      </c>
      <c r="J3" s="22" t="s">
        <v>8</v>
      </c>
      <c r="M3" s="5" t="s">
        <v>6</v>
      </c>
      <c r="N3" s="5">
        <v>20</v>
      </c>
    </row>
    <row r="4" spans="1:14" x14ac:dyDescent="0.4">
      <c r="A4" s="9" t="s">
        <v>80</v>
      </c>
      <c r="B4" s="5">
        <v>1.9</v>
      </c>
      <c r="C4" s="5" t="s">
        <v>81</v>
      </c>
      <c r="D4" s="28">
        <f xml:space="preserve"> B4*N3*N2*N5</f>
        <v>18800424</v>
      </c>
      <c r="E4" s="10" t="s">
        <v>8</v>
      </c>
      <c r="F4" s="5" t="s">
        <v>17</v>
      </c>
      <c r="G4" s="5">
        <f xml:space="preserve"> G3*0.787879</f>
        <v>3.7666998019899998</v>
      </c>
      <c r="H4" s="5" t="s">
        <v>85</v>
      </c>
      <c r="I4" s="28">
        <f xml:space="preserve"> G4*N1*N2*N3*N7</f>
        <v>61508701086.575897</v>
      </c>
      <c r="J4" s="10" t="s">
        <v>8</v>
      </c>
      <c r="M4" t="s">
        <v>7</v>
      </c>
      <c r="N4">
        <v>44</v>
      </c>
    </row>
    <row r="5" spans="1:14" x14ac:dyDescent="0.4">
      <c r="A5" s="7" t="s">
        <v>82</v>
      </c>
      <c r="B5" s="4">
        <v>500</v>
      </c>
      <c r="C5" s="4" t="s">
        <v>83</v>
      </c>
      <c r="D5" s="27">
        <f xml:space="preserve"> SUM(D6:D9)</f>
        <v>81001782000</v>
      </c>
      <c r="E5" s="8" t="s">
        <v>8</v>
      </c>
      <c r="F5" s="5" t="s">
        <v>45</v>
      </c>
      <c r="G5" s="5">
        <f xml:space="preserve"> G3*0.212121</f>
        <v>1.01411019801</v>
      </c>
      <c r="H5" s="5" t="s">
        <v>85</v>
      </c>
      <c r="I5" s="28">
        <f xml:space="preserve"> G5*N1*N2*N3*N10</f>
        <v>18925730159.341824</v>
      </c>
      <c r="J5" s="10" t="s">
        <v>8</v>
      </c>
      <c r="M5" t="s">
        <v>10</v>
      </c>
      <c r="N5">
        <v>61.08</v>
      </c>
    </row>
    <row r="6" spans="1:14" x14ac:dyDescent="0.4">
      <c r="A6" s="9" t="s">
        <v>11</v>
      </c>
      <c r="B6" s="5">
        <f xml:space="preserve"> 0.00601*B5</f>
        <v>3.0049999999999999</v>
      </c>
      <c r="C6" s="5" t="s">
        <v>83</v>
      </c>
      <c r="D6" s="28">
        <f xml:space="preserve"> B6*1000*N2*N3</f>
        <v>486810000</v>
      </c>
      <c r="E6" s="10" t="s">
        <v>8</v>
      </c>
      <c r="F6" s="34" t="s">
        <v>16</v>
      </c>
      <c r="G6" s="34">
        <v>0.138768</v>
      </c>
      <c r="H6" s="34" t="s">
        <v>85</v>
      </c>
      <c r="I6" s="35">
        <f xml:space="preserve"> SUM(I7)</f>
        <v>3560897894.4000006</v>
      </c>
      <c r="J6" s="36" t="s">
        <v>8</v>
      </c>
      <c r="M6" t="s">
        <v>12</v>
      </c>
      <c r="N6">
        <v>18</v>
      </c>
    </row>
    <row r="7" spans="1:14" x14ac:dyDescent="0.4">
      <c r="A7" s="9" t="s">
        <v>16</v>
      </c>
      <c r="B7" s="5">
        <f xml:space="preserve"> B5*0.000612</f>
        <v>0.30599999999999999</v>
      </c>
      <c r="C7" s="5" t="s">
        <v>83</v>
      </c>
      <c r="D7" s="28">
        <f xml:space="preserve"> B7*1000*N2*N3</f>
        <v>49572000</v>
      </c>
      <c r="E7" s="10" t="s">
        <v>8</v>
      </c>
      <c r="F7" s="37" t="s">
        <v>16</v>
      </c>
      <c r="G7" s="37">
        <f xml:space="preserve"> G6</f>
        <v>0.138768</v>
      </c>
      <c r="H7" s="37" t="s">
        <v>85</v>
      </c>
      <c r="I7" s="38">
        <f xml:space="preserve"> G7*N2*N3*N1*N4</f>
        <v>3560897894.4000006</v>
      </c>
      <c r="J7" s="39" t="s">
        <v>8</v>
      </c>
      <c r="M7" t="s">
        <v>18</v>
      </c>
      <c r="N7">
        <v>28</v>
      </c>
    </row>
    <row r="8" spans="1:14" x14ac:dyDescent="0.4">
      <c r="A8" s="9" t="s">
        <v>17</v>
      </c>
      <c r="B8" s="5">
        <f>B5*0.759</f>
        <v>379.5</v>
      </c>
      <c r="C8" s="5" t="s">
        <v>83</v>
      </c>
      <c r="D8" s="28">
        <f xml:space="preserve"> B8*1000*N2*N3</f>
        <v>61479000000</v>
      </c>
      <c r="E8" s="10" t="s">
        <v>8</v>
      </c>
      <c r="F8" s="4" t="s">
        <v>84</v>
      </c>
      <c r="G8" s="4">
        <v>0.19700000000000001</v>
      </c>
      <c r="H8" s="4" t="s">
        <v>85</v>
      </c>
      <c r="I8" s="27">
        <f xml:space="preserve"> SUM(I9:I10)</f>
        <v>6539744536.0171776</v>
      </c>
      <c r="J8" s="8" t="s">
        <v>8</v>
      </c>
      <c r="M8" t="s">
        <v>52</v>
      </c>
      <c r="N8">
        <f xml:space="preserve"> 12+3+16+1</f>
        <v>32</v>
      </c>
    </row>
    <row r="9" spans="1:14" x14ac:dyDescent="0.4">
      <c r="A9" s="9" t="s">
        <v>45</v>
      </c>
      <c r="B9" s="5">
        <f xml:space="preserve"> B5*0.2344</f>
        <v>117.2</v>
      </c>
      <c r="C9" s="5" t="s">
        <v>83</v>
      </c>
      <c r="D9" s="28">
        <f xml:space="preserve"> B9*1000*N2*N3</f>
        <v>18986400000</v>
      </c>
      <c r="E9" s="10" t="s">
        <v>8</v>
      </c>
      <c r="F9" s="5" t="s">
        <v>11</v>
      </c>
      <c r="G9" s="5">
        <f xml:space="preserve"> G8*0.306161</f>
        <v>6.0313717000000003E-2</v>
      </c>
      <c r="H9" s="5" t="s">
        <v>85</v>
      </c>
      <c r="I9" s="28">
        <f xml:space="preserve"> G9*N1*N2*N3*N6</f>
        <v>633149275.57920003</v>
      </c>
      <c r="J9" s="10" t="s">
        <v>8</v>
      </c>
      <c r="M9" t="s">
        <v>53</v>
      </c>
      <c r="N9">
        <f xml:space="preserve"> 16</f>
        <v>16</v>
      </c>
    </row>
    <row r="10" spans="1:14" ht="16.5" thickBot="1" x14ac:dyDescent="0.45">
      <c r="A10" s="7" t="s">
        <v>88</v>
      </c>
      <c r="B10" s="4">
        <v>50</v>
      </c>
      <c r="C10" s="4" t="s">
        <v>83</v>
      </c>
      <c r="D10" s="27">
        <f xml:space="preserve"> SUM(D11)</f>
        <v>8100000000</v>
      </c>
      <c r="E10" s="8" t="s">
        <v>8</v>
      </c>
      <c r="F10" s="5" t="s">
        <v>86</v>
      </c>
      <c r="G10" s="5">
        <f xml:space="preserve"> G8*0.693839</f>
        <v>0.13668628299999999</v>
      </c>
      <c r="H10" s="5" t="s">
        <v>85</v>
      </c>
      <c r="I10" s="28">
        <f xml:space="preserve"> G10*N1*N2*N3*N15</f>
        <v>5906595260.4379778</v>
      </c>
      <c r="J10" s="10" t="s">
        <v>8</v>
      </c>
      <c r="M10" t="s">
        <v>54</v>
      </c>
      <c r="N10">
        <f xml:space="preserve"> 32</f>
        <v>32</v>
      </c>
    </row>
    <row r="11" spans="1:14" x14ac:dyDescent="0.4">
      <c r="A11" s="9" t="s">
        <v>89</v>
      </c>
      <c r="B11" s="5">
        <v>50</v>
      </c>
      <c r="C11" s="5" t="s">
        <v>83</v>
      </c>
      <c r="D11" s="28">
        <f xml:space="preserve"> B11*N18*N2*N3</f>
        <v>8100000000</v>
      </c>
      <c r="E11" s="10" t="s">
        <v>8</v>
      </c>
      <c r="F11" s="60" t="s">
        <v>40</v>
      </c>
      <c r="G11" s="60"/>
      <c r="H11" s="60"/>
      <c r="I11" s="60"/>
      <c r="J11" s="61"/>
      <c r="M11" t="s">
        <v>64</v>
      </c>
      <c r="N11">
        <f xml:space="preserve"> 12+2+16</f>
        <v>30</v>
      </c>
    </row>
    <row r="12" spans="1:14" x14ac:dyDescent="0.4">
      <c r="A12" s="7" t="s">
        <v>11</v>
      </c>
      <c r="B12" s="4">
        <v>0.2</v>
      </c>
      <c r="C12" s="4" t="s">
        <v>85</v>
      </c>
      <c r="D12" s="4">
        <f xml:space="preserve"> B12*N1*N2*N3*N6</f>
        <v>2099520000</v>
      </c>
      <c r="E12" s="8" t="s">
        <v>8</v>
      </c>
      <c r="F12" s="57" t="s">
        <v>41</v>
      </c>
      <c r="G12" s="57"/>
      <c r="H12" s="57"/>
      <c r="I12" s="57"/>
      <c r="J12" s="58"/>
      <c r="M12" t="s">
        <v>65</v>
      </c>
      <c r="N12">
        <v>2</v>
      </c>
    </row>
    <row r="13" spans="1:14" ht="16.5" thickBot="1" x14ac:dyDescent="0.45">
      <c r="A13" s="9" t="s">
        <v>11</v>
      </c>
      <c r="B13" s="5">
        <v>0.2</v>
      </c>
      <c r="C13" s="5" t="s">
        <v>85</v>
      </c>
      <c r="D13" s="5">
        <f xml:space="preserve"> B13*N1*N2*N3*N6</f>
        <v>2099520000</v>
      </c>
      <c r="E13" s="10" t="s">
        <v>8</v>
      </c>
      <c r="F13" s="12" t="s">
        <v>42</v>
      </c>
      <c r="G13" s="12">
        <f>B16</f>
        <v>1799600</v>
      </c>
      <c r="H13" s="12" t="s">
        <v>32</v>
      </c>
      <c r="I13" s="12">
        <f xml:space="preserve"> G13*N16</f>
        <v>816284.82905200007</v>
      </c>
      <c r="J13" s="13" t="s">
        <v>8</v>
      </c>
      <c r="M13" t="s">
        <v>66</v>
      </c>
      <c r="N13">
        <v>46.07</v>
      </c>
    </row>
    <row r="14" spans="1:14" x14ac:dyDescent="0.4">
      <c r="A14" s="62" t="s">
        <v>24</v>
      </c>
      <c r="B14" s="60"/>
      <c r="C14" s="60"/>
      <c r="D14" s="60"/>
      <c r="E14" s="61"/>
      <c r="I14" s="29"/>
      <c r="M14" t="s">
        <v>67</v>
      </c>
      <c r="N14">
        <v>28</v>
      </c>
    </row>
    <row r="15" spans="1:14" x14ac:dyDescent="0.4">
      <c r="A15" s="59" t="s">
        <v>92</v>
      </c>
      <c r="B15" s="51"/>
      <c r="C15" s="51"/>
      <c r="D15" s="51"/>
      <c r="E15" s="52"/>
      <c r="I15" s="29"/>
      <c r="M15" t="s">
        <v>87</v>
      </c>
      <c r="N15">
        <v>74.096000000000004</v>
      </c>
    </row>
    <row r="16" spans="1:14" ht="16.5" thickBot="1" x14ac:dyDescent="0.45">
      <c r="A16" s="9" t="s">
        <v>27</v>
      </c>
      <c r="B16" s="5">
        <v>1799600</v>
      </c>
      <c r="C16" s="5" t="s">
        <v>32</v>
      </c>
      <c r="D16" s="5">
        <f xml:space="preserve"> B16*N16</f>
        <v>816284.82905200007</v>
      </c>
      <c r="E16" s="10" t="s">
        <v>8</v>
      </c>
      <c r="M16" t="s">
        <v>33</v>
      </c>
      <c r="N16">
        <v>0.45359237000000002</v>
      </c>
    </row>
    <row r="17" spans="1:14" x14ac:dyDescent="0.4">
      <c r="A17" s="62" t="s">
        <v>28</v>
      </c>
      <c r="B17" s="60"/>
      <c r="C17" s="60"/>
      <c r="D17" s="60"/>
      <c r="E17" s="61"/>
      <c r="M17" t="s">
        <v>76</v>
      </c>
      <c r="N17">
        <f>1000000*4.54609</f>
        <v>4546090</v>
      </c>
    </row>
    <row r="18" spans="1:14" x14ac:dyDescent="0.4">
      <c r="A18" s="59" t="s">
        <v>34</v>
      </c>
      <c r="B18" s="51"/>
      <c r="C18" s="51"/>
      <c r="D18" s="51"/>
      <c r="E18" s="52"/>
      <c r="M18" t="s">
        <v>90</v>
      </c>
      <c r="N18">
        <v>1000</v>
      </c>
    </row>
    <row r="19" spans="1:14" ht="16.5" thickBot="1" x14ac:dyDescent="0.45">
      <c r="A19" s="9" t="s">
        <v>29</v>
      </c>
      <c r="B19" s="17">
        <v>4.0000000000000001E-10</v>
      </c>
      <c r="C19" s="5" t="s">
        <v>8</v>
      </c>
      <c r="D19" s="17">
        <v>4.0000000000000001E-10</v>
      </c>
      <c r="E19" s="10" t="s">
        <v>8</v>
      </c>
    </row>
    <row r="20" spans="1:14" x14ac:dyDescent="0.4">
      <c r="A20" s="62" t="s">
        <v>30</v>
      </c>
      <c r="B20" s="60"/>
      <c r="C20" s="60"/>
      <c r="D20" s="60"/>
      <c r="E20" s="61"/>
    </row>
    <row r="21" spans="1:14" x14ac:dyDescent="0.4">
      <c r="A21" s="59" t="s">
        <v>31</v>
      </c>
      <c r="B21" s="51"/>
      <c r="C21" s="51"/>
      <c r="D21" s="51"/>
      <c r="E21" s="52"/>
    </row>
    <row r="22" spans="1:14" ht="16.5" thickBot="1" x14ac:dyDescent="0.45">
      <c r="A22" s="11" t="s">
        <v>39</v>
      </c>
      <c r="B22" s="12">
        <v>574.52</v>
      </c>
      <c r="C22" s="12" t="s">
        <v>35</v>
      </c>
      <c r="D22" s="12">
        <f>B22*N1*N3*N2/1000</f>
        <v>335060064</v>
      </c>
      <c r="E22" s="13" t="s">
        <v>38</v>
      </c>
    </row>
  </sheetData>
  <mergeCells count="10">
    <mergeCell ref="F12:J12"/>
    <mergeCell ref="A18:E18"/>
    <mergeCell ref="A21:E21"/>
    <mergeCell ref="A15:E15"/>
    <mergeCell ref="A1:E1"/>
    <mergeCell ref="F1:J1"/>
    <mergeCell ref="F11:J11"/>
    <mergeCell ref="A14:E14"/>
    <mergeCell ref="A17:E17"/>
    <mergeCell ref="A20:E20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F910E7-248D-DC4F-A209-914C27806234}">
  <dimension ref="A1:N51"/>
  <sheetViews>
    <sheetView topLeftCell="A13" zoomScale="110" workbookViewId="0">
      <selection activeCell="E47" sqref="E47"/>
    </sheetView>
  </sheetViews>
  <sheetFormatPr defaultColWidth="10.6640625" defaultRowHeight="16" x14ac:dyDescent="0.4"/>
  <cols>
    <col min="1" max="1" width="23.1640625" customWidth="1"/>
    <col min="2" max="2" width="23.83203125" customWidth="1"/>
    <col min="3" max="3" width="13.6640625" customWidth="1"/>
    <col min="4" max="4" width="16.6640625" customWidth="1"/>
    <col min="6" max="6" width="20.83203125" customWidth="1"/>
    <col min="7" max="7" width="16.1640625" customWidth="1"/>
    <col min="9" max="9" width="19.1640625" customWidth="1"/>
    <col min="10" max="10" width="16.5" customWidth="1"/>
    <col min="13" max="13" width="27.5" customWidth="1"/>
  </cols>
  <sheetData>
    <row r="1" spans="1:14" x14ac:dyDescent="0.4">
      <c r="A1" s="53" t="s">
        <v>25</v>
      </c>
      <c r="B1" s="54"/>
      <c r="C1" s="54"/>
      <c r="D1" s="54"/>
      <c r="E1" s="55"/>
      <c r="F1" s="53" t="s">
        <v>26</v>
      </c>
      <c r="G1" s="54"/>
      <c r="H1" s="54"/>
      <c r="I1" s="54"/>
      <c r="J1" s="56"/>
      <c r="K1" t="s">
        <v>22</v>
      </c>
      <c r="M1" t="s">
        <v>15</v>
      </c>
      <c r="N1">
        <v>3600</v>
      </c>
    </row>
    <row r="2" spans="1:14" ht="16.5" thickBot="1" x14ac:dyDescent="0.45">
      <c r="A2" s="1" t="s">
        <v>2</v>
      </c>
      <c r="B2" s="2" t="s">
        <v>0</v>
      </c>
      <c r="C2" s="2" t="s">
        <v>1</v>
      </c>
      <c r="D2" s="2" t="s">
        <v>19</v>
      </c>
      <c r="E2" s="3" t="s">
        <v>20</v>
      </c>
      <c r="F2" s="1" t="s">
        <v>2</v>
      </c>
      <c r="G2" s="2" t="s">
        <v>0</v>
      </c>
      <c r="H2" s="2" t="s">
        <v>1</v>
      </c>
      <c r="I2" s="2" t="s">
        <v>19</v>
      </c>
      <c r="J2" s="6" t="s">
        <v>20</v>
      </c>
      <c r="M2" t="s">
        <v>5</v>
      </c>
      <c r="N2">
        <f xml:space="preserve"> 8100</f>
        <v>8100</v>
      </c>
    </row>
    <row r="3" spans="1:14" x14ac:dyDescent="0.4">
      <c r="A3" s="7" t="s">
        <v>16</v>
      </c>
      <c r="B3" s="4">
        <v>505.49200000000002</v>
      </c>
      <c r="C3" s="4" t="s">
        <v>4</v>
      </c>
      <c r="D3" s="14">
        <f xml:space="preserve"> SUM(D4:D7)</f>
        <v>3582345086.4481864</v>
      </c>
      <c r="E3" s="4" t="s">
        <v>8</v>
      </c>
      <c r="F3" s="7" t="s">
        <v>48</v>
      </c>
      <c r="G3" s="4">
        <v>39.294699999999999</v>
      </c>
      <c r="H3" s="4" t="s">
        <v>4</v>
      </c>
      <c r="I3" s="14">
        <f xml:space="preserve"> SUM(I4:I6)</f>
        <v>114583460.35639282</v>
      </c>
      <c r="J3" s="8" t="s">
        <v>8</v>
      </c>
      <c r="M3" s="5" t="s">
        <v>6</v>
      </c>
      <c r="N3" s="5">
        <v>20</v>
      </c>
    </row>
    <row r="4" spans="1:14" x14ac:dyDescent="0.4">
      <c r="A4" s="9" t="s">
        <v>16</v>
      </c>
      <c r="B4" s="5">
        <f xml:space="preserve"> B3*0.989613</f>
        <v>500.24145459599998</v>
      </c>
      <c r="C4" s="5" t="s">
        <v>4</v>
      </c>
      <c r="D4" s="15">
        <f xml:space="preserve"> B4*N2*N3*N4</f>
        <v>3565721088.3602877</v>
      </c>
      <c r="E4" s="5" t="s">
        <v>8</v>
      </c>
      <c r="F4" s="9" t="s">
        <v>49</v>
      </c>
      <c r="G4" s="5">
        <f>G3*0.00000199673</f>
        <v>7.8460906330999987E-5</v>
      </c>
      <c r="H4" s="5" t="s">
        <v>4</v>
      </c>
      <c r="I4" s="15">
        <f xml:space="preserve"> G4*N2*N3*N8</f>
        <v>406.74133841990397</v>
      </c>
      <c r="J4" s="10" t="s">
        <v>8</v>
      </c>
      <c r="M4" t="s">
        <v>7</v>
      </c>
      <c r="N4">
        <v>44</v>
      </c>
    </row>
    <row r="5" spans="1:14" x14ac:dyDescent="0.4">
      <c r="A5" s="9" t="s">
        <v>11</v>
      </c>
      <c r="B5" s="5">
        <f xml:space="preserve"> B3*0.00878377</f>
        <v>4.4401254648400004</v>
      </c>
      <c r="C5" s="5" t="s">
        <v>4</v>
      </c>
      <c r="D5" s="15">
        <f xml:space="preserve"> B5*N2*N3*N6</f>
        <v>12947405.85547344</v>
      </c>
      <c r="E5" s="5" t="s">
        <v>8</v>
      </c>
      <c r="F5" s="9" t="s">
        <v>11</v>
      </c>
      <c r="G5" s="5">
        <v>39.294600000000003</v>
      </c>
      <c r="H5" s="5" t="s">
        <v>4</v>
      </c>
      <c r="I5" s="15">
        <f xml:space="preserve"> G5*N2*N3*N6</f>
        <v>114583053.60000001</v>
      </c>
      <c r="J5" s="10" t="s">
        <v>8</v>
      </c>
      <c r="M5" t="s">
        <v>10</v>
      </c>
      <c r="N5">
        <v>61.08</v>
      </c>
    </row>
    <row r="6" spans="1:14" x14ac:dyDescent="0.4">
      <c r="A6" s="5" t="s">
        <v>17</v>
      </c>
      <c r="B6" s="5">
        <f>B3*0.00160346</f>
        <v>0.81053620232000001</v>
      </c>
      <c r="C6" s="5" t="s">
        <v>4</v>
      </c>
      <c r="D6" s="15">
        <f xml:space="preserve"> B6*N2*N3*N7</f>
        <v>3676592.2137235207</v>
      </c>
      <c r="E6" s="5" t="s">
        <v>8</v>
      </c>
      <c r="F6" s="9" t="s">
        <v>9</v>
      </c>
      <c r="G6" s="17">
        <v>1.5214199999999999E-9</v>
      </c>
      <c r="H6" s="5" t="s">
        <v>4</v>
      </c>
      <c r="I6" s="15">
        <f>G6*N2*N3*N5</f>
        <v>1.50543900432E-2</v>
      </c>
      <c r="J6" s="10" t="s">
        <v>8</v>
      </c>
      <c r="M6" t="s">
        <v>12</v>
      </c>
      <c r="N6">
        <v>18</v>
      </c>
    </row>
    <row r="7" spans="1:14" x14ac:dyDescent="0.4">
      <c r="A7" s="9" t="s">
        <v>9</v>
      </c>
      <c r="B7" s="5">
        <f xml:space="preserve"> B3*0.00000000000373893</f>
        <v>1.8899992035600001E-9</v>
      </c>
      <c r="C7" s="5" t="s">
        <v>4</v>
      </c>
      <c r="D7" s="15">
        <f xml:space="preserve"> B7*N2*N3*N5</f>
        <v>1.8701466519258057E-2</v>
      </c>
      <c r="E7" s="5" t="s">
        <v>8</v>
      </c>
      <c r="F7" s="7" t="s">
        <v>47</v>
      </c>
      <c r="G7" s="4">
        <v>1304.29</v>
      </c>
      <c r="H7" s="4" t="s">
        <v>4</v>
      </c>
      <c r="I7" s="14">
        <f xml:space="preserve"> SUM(I8:I15)</f>
        <v>5314743656.1720009</v>
      </c>
      <c r="J7" s="8" t="s">
        <v>8</v>
      </c>
      <c r="M7" t="s">
        <v>18</v>
      </c>
      <c r="N7">
        <v>28</v>
      </c>
    </row>
    <row r="8" spans="1:14" x14ac:dyDescent="0.4">
      <c r="A8" s="4" t="s">
        <v>43</v>
      </c>
      <c r="B8" s="4">
        <v>1200</v>
      </c>
      <c r="C8" s="4" t="s">
        <v>4</v>
      </c>
      <c r="D8" s="14">
        <f xml:space="preserve"> D9</f>
        <v>3499200000</v>
      </c>
      <c r="E8" s="4" t="s">
        <v>8</v>
      </c>
      <c r="F8" s="9" t="s">
        <v>16</v>
      </c>
      <c r="G8" s="5">
        <v>102.154</v>
      </c>
      <c r="H8" s="5" t="s">
        <v>4</v>
      </c>
      <c r="I8" s="15">
        <f xml:space="preserve"> G8*$N$2*$N$3*N4</f>
        <v>728153712</v>
      </c>
      <c r="J8" s="10" t="s">
        <v>8</v>
      </c>
      <c r="M8" t="s">
        <v>52</v>
      </c>
      <c r="N8">
        <f xml:space="preserve"> 12+3+16+1</f>
        <v>32</v>
      </c>
    </row>
    <row r="9" spans="1:14" x14ac:dyDescent="0.4">
      <c r="A9" s="5" t="s">
        <v>11</v>
      </c>
      <c r="B9" s="5">
        <f xml:space="preserve"> B8*1</f>
        <v>1200</v>
      </c>
      <c r="C9" s="5" t="s">
        <v>4</v>
      </c>
      <c r="D9" s="15">
        <f xml:space="preserve"> B9*N2*N3*N6</f>
        <v>3499200000</v>
      </c>
      <c r="E9" s="5" t="s">
        <v>8</v>
      </c>
      <c r="F9" s="9" t="s">
        <v>11</v>
      </c>
      <c r="G9" s="5">
        <v>0.68056700000000003</v>
      </c>
      <c r="H9" s="5" t="s">
        <v>4</v>
      </c>
      <c r="I9" s="15">
        <f xml:space="preserve"> G9*$N$2*$N$3*N6</f>
        <v>1984533.3720000002</v>
      </c>
      <c r="J9" s="10" t="s">
        <v>8</v>
      </c>
      <c r="M9" t="s">
        <v>53</v>
      </c>
      <c r="N9">
        <f xml:space="preserve"> 16</f>
        <v>16</v>
      </c>
    </row>
    <row r="10" spans="1:14" x14ac:dyDescent="0.4">
      <c r="A10" s="4" t="s">
        <v>44</v>
      </c>
      <c r="B10" s="4">
        <v>544</v>
      </c>
      <c r="C10" s="4" t="s">
        <v>4</v>
      </c>
      <c r="D10" s="14">
        <f xml:space="preserve"> SUM(D11:D12)</f>
        <v>2541611520</v>
      </c>
      <c r="E10" s="4" t="s">
        <v>8</v>
      </c>
      <c r="F10" s="9" t="s">
        <v>49</v>
      </c>
      <c r="G10" s="5">
        <v>1.6113299999999999</v>
      </c>
      <c r="H10" s="5" t="s">
        <v>4</v>
      </c>
      <c r="I10" s="15">
        <f xml:space="preserve"> G10*$N$2*$N$3*N8</f>
        <v>8353134.7199999997</v>
      </c>
      <c r="J10" s="10" t="s">
        <v>8</v>
      </c>
      <c r="M10" t="s">
        <v>54</v>
      </c>
      <c r="N10">
        <f xml:space="preserve"> 32</f>
        <v>32</v>
      </c>
    </row>
    <row r="11" spans="1:14" x14ac:dyDescent="0.4">
      <c r="A11" s="5" t="s">
        <v>45</v>
      </c>
      <c r="B11" s="5">
        <f xml:space="preserve"> B10*0.21</f>
        <v>114.24</v>
      </c>
      <c r="C11" s="5" t="s">
        <v>4</v>
      </c>
      <c r="D11" s="15">
        <f xml:space="preserve"> B11*N2*N3*N10</f>
        <v>592220160</v>
      </c>
      <c r="E11" s="5" t="s">
        <v>8</v>
      </c>
      <c r="F11" s="9" t="s">
        <v>9</v>
      </c>
      <c r="G11" s="17">
        <v>1.5164099999999999E-13</v>
      </c>
      <c r="H11" s="5" t="s">
        <v>4</v>
      </c>
      <c r="I11" s="15">
        <f xml:space="preserve"> G11*$N$2*$N$3*N5</f>
        <v>1.5004816293599998E-6</v>
      </c>
      <c r="J11" s="10" t="s">
        <v>8</v>
      </c>
      <c r="M11" t="s">
        <v>64</v>
      </c>
      <c r="N11">
        <f xml:space="preserve"> 12+2+16</f>
        <v>30</v>
      </c>
    </row>
    <row r="12" spans="1:14" x14ac:dyDescent="0.4">
      <c r="A12" s="5" t="s">
        <v>17</v>
      </c>
      <c r="B12" s="5">
        <f xml:space="preserve"> B10*0.79</f>
        <v>429.76</v>
      </c>
      <c r="C12" s="5" t="s">
        <v>4</v>
      </c>
      <c r="D12" s="15">
        <f xml:space="preserve"> B12*N2*N3*N7</f>
        <v>1949391360</v>
      </c>
      <c r="E12" s="5" t="s">
        <v>8</v>
      </c>
      <c r="F12" s="9" t="s">
        <v>50</v>
      </c>
      <c r="G12" s="5">
        <v>135.34899999999999</v>
      </c>
      <c r="H12" s="5" t="s">
        <v>4</v>
      </c>
      <c r="I12" s="15">
        <f xml:space="preserve"> G12*$N$2*$N$3*N9</f>
        <v>350824608</v>
      </c>
      <c r="J12" s="10" t="s">
        <v>8</v>
      </c>
      <c r="M12" t="s">
        <v>65</v>
      </c>
      <c r="N12">
        <v>2</v>
      </c>
    </row>
    <row r="13" spans="1:14" x14ac:dyDescent="0.4">
      <c r="A13" s="4" t="s">
        <v>46</v>
      </c>
      <c r="B13" s="4">
        <v>348</v>
      </c>
      <c r="C13" s="4" t="s">
        <v>4</v>
      </c>
      <c r="D13" s="14">
        <f xml:space="preserve"> D14</f>
        <v>626940000</v>
      </c>
      <c r="E13" s="4" t="s">
        <v>8</v>
      </c>
      <c r="F13" s="9" t="s">
        <v>51</v>
      </c>
      <c r="G13" s="5">
        <v>265.92</v>
      </c>
      <c r="H13" s="5" t="s">
        <v>4</v>
      </c>
      <c r="I13" s="15">
        <f xml:space="preserve"> G13*$N$2*$N$3*N12</f>
        <v>86158080</v>
      </c>
      <c r="J13" s="10" t="s">
        <v>8</v>
      </c>
      <c r="M13" t="s">
        <v>66</v>
      </c>
      <c r="N13">
        <v>46.07</v>
      </c>
    </row>
    <row r="14" spans="1:14" ht="16.5" thickBot="1" x14ac:dyDescent="0.45">
      <c r="A14" s="5" t="s">
        <v>11</v>
      </c>
      <c r="B14" s="5">
        <v>215</v>
      </c>
      <c r="C14" s="5" t="s">
        <v>4</v>
      </c>
      <c r="D14" s="15">
        <f xml:space="preserve"> B14*N2*N3*N6</f>
        <v>626940000</v>
      </c>
      <c r="E14" s="5" t="s">
        <v>8</v>
      </c>
      <c r="F14" s="9" t="s">
        <v>45</v>
      </c>
      <c r="G14" s="5">
        <v>797.76099999999997</v>
      </c>
      <c r="H14" s="5" t="s">
        <v>4</v>
      </c>
      <c r="I14" s="15">
        <f xml:space="preserve"> G14*$N$2*$N$3*N10</f>
        <v>4135593024</v>
      </c>
      <c r="J14" s="10" t="s">
        <v>8</v>
      </c>
      <c r="M14" t="s">
        <v>67</v>
      </c>
      <c r="N14">
        <v>28</v>
      </c>
    </row>
    <row r="15" spans="1:14" x14ac:dyDescent="0.4">
      <c r="A15" s="62" t="s">
        <v>24</v>
      </c>
      <c r="B15" s="60"/>
      <c r="C15" s="60"/>
      <c r="D15" s="60"/>
      <c r="E15" s="61"/>
      <c r="F15" s="9" t="s">
        <v>17</v>
      </c>
      <c r="G15" s="5">
        <v>0.81052999999999997</v>
      </c>
      <c r="H15" s="5" t="s">
        <v>4</v>
      </c>
      <c r="I15" s="15">
        <f xml:space="preserve"> G15*$N$2*$N$3*N7</f>
        <v>3676564.0799999996</v>
      </c>
      <c r="J15" s="10" t="s">
        <v>8</v>
      </c>
      <c r="M15" t="s">
        <v>33</v>
      </c>
      <c r="N15">
        <v>0.45359237000000002</v>
      </c>
    </row>
    <row r="16" spans="1:14" x14ac:dyDescent="0.4">
      <c r="A16" s="51" t="s">
        <v>68</v>
      </c>
      <c r="B16" s="51"/>
      <c r="C16" s="51"/>
      <c r="D16" s="51"/>
      <c r="E16" s="52"/>
      <c r="F16" s="7" t="s">
        <v>55</v>
      </c>
      <c r="G16" s="4">
        <f xml:space="preserve"> 103.598</f>
        <v>103.598</v>
      </c>
      <c r="H16" s="4" t="s">
        <v>4</v>
      </c>
      <c r="I16" s="14">
        <f xml:space="preserve"> SUM(I17:I18)</f>
        <v>315136915.19999999</v>
      </c>
      <c r="J16" s="8" t="s">
        <v>8</v>
      </c>
      <c r="M16" t="s">
        <v>76</v>
      </c>
      <c r="N16">
        <f>1000000*4.54609</f>
        <v>4546090</v>
      </c>
    </row>
    <row r="17" spans="1:10" ht="16.5" thickBot="1" x14ac:dyDescent="0.45">
      <c r="A17" s="5" t="s">
        <v>27</v>
      </c>
      <c r="B17" s="5">
        <v>741260</v>
      </c>
      <c r="C17" s="5" t="s">
        <v>32</v>
      </c>
      <c r="D17" s="5">
        <f xml:space="preserve"> B17*N15</f>
        <v>336229.88018620003</v>
      </c>
      <c r="E17" s="5" t="s">
        <v>8</v>
      </c>
      <c r="F17" s="9" t="s">
        <v>11</v>
      </c>
      <c r="G17" s="5">
        <v>97.847200000000001</v>
      </c>
      <c r="H17" s="5" t="s">
        <v>4</v>
      </c>
      <c r="I17" s="15">
        <f xml:space="preserve"> G17*$N$2*$N$3*N6</f>
        <v>285322435.19999999</v>
      </c>
      <c r="J17" s="10" t="s">
        <v>8</v>
      </c>
    </row>
    <row r="18" spans="1:10" x14ac:dyDescent="0.4">
      <c r="A18" s="62" t="s">
        <v>28</v>
      </c>
      <c r="B18" s="60"/>
      <c r="C18" s="60"/>
      <c r="D18" s="60"/>
      <c r="E18" s="61"/>
      <c r="F18" s="9" t="s">
        <v>49</v>
      </c>
      <c r="G18" s="5">
        <v>5.7512499999999998</v>
      </c>
      <c r="H18" s="5" t="s">
        <v>4</v>
      </c>
      <c r="I18" s="15">
        <f xml:space="preserve"> G18*$N$2*$N$3*N8</f>
        <v>29814480</v>
      </c>
      <c r="J18" s="10" t="s">
        <v>8</v>
      </c>
    </row>
    <row r="19" spans="1:10" x14ac:dyDescent="0.4">
      <c r="A19" s="18" t="s">
        <v>34</v>
      </c>
      <c r="B19" s="18"/>
      <c r="C19" s="18"/>
      <c r="D19" s="18"/>
      <c r="E19" s="18"/>
      <c r="F19" s="7" t="s">
        <v>56</v>
      </c>
      <c r="G19" s="4">
        <v>1.9859199999999999</v>
      </c>
      <c r="H19" s="4" t="s">
        <v>4</v>
      </c>
      <c r="I19" s="14">
        <f xml:space="preserve"> SUM(I20:I26)</f>
        <v>61677832.256236807</v>
      </c>
      <c r="J19" s="8" t="s">
        <v>8</v>
      </c>
    </row>
    <row r="20" spans="1:10" ht="16.5" thickBot="1" x14ac:dyDescent="0.45">
      <c r="A20" s="5" t="s">
        <v>29</v>
      </c>
      <c r="B20" s="17">
        <v>4.0000000000000001E-10</v>
      </c>
      <c r="C20" s="5" t="s">
        <v>8</v>
      </c>
      <c r="D20" s="17">
        <v>4.0000000000000001E-10</v>
      </c>
      <c r="E20" s="5" t="s">
        <v>8</v>
      </c>
      <c r="F20" s="9" t="s">
        <v>11</v>
      </c>
      <c r="G20" s="5">
        <v>13.243</v>
      </c>
      <c r="H20" s="5" t="s">
        <v>4</v>
      </c>
      <c r="I20" s="15">
        <f xml:space="preserve"> G20*$N$2*$N$3*N6</f>
        <v>38616588</v>
      </c>
      <c r="J20" s="10" t="s">
        <v>8</v>
      </c>
    </row>
    <row r="21" spans="1:10" x14ac:dyDescent="0.4">
      <c r="A21" s="62" t="s">
        <v>30</v>
      </c>
      <c r="B21" s="60"/>
      <c r="C21" s="60"/>
      <c r="D21" s="60"/>
      <c r="E21" s="61"/>
      <c r="F21" s="9" t="s">
        <v>49</v>
      </c>
      <c r="G21" s="5">
        <v>1.87131</v>
      </c>
      <c r="H21" s="5" t="s">
        <v>4</v>
      </c>
      <c r="I21" s="15">
        <f xml:space="preserve"> G21*$N$2*$N$3*N8</f>
        <v>9700871.040000001</v>
      </c>
      <c r="J21" s="10" t="s">
        <v>8</v>
      </c>
    </row>
    <row r="22" spans="1:10" x14ac:dyDescent="0.4">
      <c r="A22" s="4" t="s">
        <v>31</v>
      </c>
      <c r="B22" s="4"/>
      <c r="C22" s="4"/>
      <c r="D22" s="4"/>
      <c r="E22" s="4"/>
      <c r="F22" s="9" t="s">
        <v>45</v>
      </c>
      <c r="G22" s="5">
        <v>0</v>
      </c>
      <c r="H22" s="5" t="s">
        <v>4</v>
      </c>
      <c r="I22" s="15">
        <f xml:space="preserve"> G22*$N$2*$N$3*N10</f>
        <v>0</v>
      </c>
      <c r="J22" s="10" t="s">
        <v>8</v>
      </c>
    </row>
    <row r="23" spans="1:10" x14ac:dyDescent="0.4">
      <c r="A23" s="5" t="s">
        <v>39</v>
      </c>
      <c r="B23" s="5">
        <v>149.393</v>
      </c>
      <c r="C23" s="5" t="s">
        <v>35</v>
      </c>
      <c r="D23" s="5">
        <f>B23*N1*N3*N2/1000</f>
        <v>87125997.599999994</v>
      </c>
      <c r="E23" s="5" t="s">
        <v>38</v>
      </c>
      <c r="F23" s="9" t="s">
        <v>17</v>
      </c>
      <c r="G23" s="5">
        <v>1.3313999999999999</v>
      </c>
      <c r="H23" s="5" t="s">
        <v>4</v>
      </c>
      <c r="I23" s="15">
        <f xml:space="preserve"> G23*$N$2*$N$3*N10</f>
        <v>6901977.5999999996</v>
      </c>
      <c r="J23" s="10" t="s">
        <v>8</v>
      </c>
    </row>
    <row r="24" spans="1:10" x14ac:dyDescent="0.4">
      <c r="A24" s="5" t="s">
        <v>69</v>
      </c>
      <c r="B24" s="5">
        <v>1.0232699999999999</v>
      </c>
      <c r="C24" s="5" t="s">
        <v>37</v>
      </c>
      <c r="D24" s="5">
        <f>(B24/1000)*N16*N2*N3</f>
        <v>753604157.31659997</v>
      </c>
      <c r="E24" s="5" t="s">
        <v>8</v>
      </c>
      <c r="F24" s="9" t="s">
        <v>57</v>
      </c>
      <c r="G24" s="5">
        <v>1.2528699999999999</v>
      </c>
      <c r="H24" s="5" t="s">
        <v>4</v>
      </c>
      <c r="I24" s="15">
        <f xml:space="preserve"> G24*$N$2*$N$3*N11</f>
        <v>6088948.2000000002</v>
      </c>
      <c r="J24" s="10" t="s">
        <v>8</v>
      </c>
    </row>
    <row r="25" spans="1:10" x14ac:dyDescent="0.4">
      <c r="A25" s="5" t="s">
        <v>70</v>
      </c>
      <c r="B25" s="5">
        <v>977.33600000000001</v>
      </c>
      <c r="C25" s="5" t="s">
        <v>37</v>
      </c>
      <c r="D25" s="5">
        <f>B25*N2*N3*N15/1000</f>
        <v>71816.56870926384</v>
      </c>
      <c r="E25" s="5" t="s">
        <v>8</v>
      </c>
      <c r="F25" s="9" t="s">
        <v>58</v>
      </c>
      <c r="G25" s="5">
        <v>8.9955199999999999E-3</v>
      </c>
      <c r="H25" s="5" t="s">
        <v>4</v>
      </c>
      <c r="I25" s="15">
        <f xml:space="preserve"> G25*$N$2*$N$3*N13</f>
        <v>67136.624236799995</v>
      </c>
      <c r="J25" s="10" t="s">
        <v>8</v>
      </c>
    </row>
    <row r="26" spans="1:10" x14ac:dyDescent="0.4">
      <c r="A26" s="5" t="s">
        <v>71</v>
      </c>
      <c r="B26" s="5">
        <v>295.38600000000002</v>
      </c>
      <c r="C26" s="5" t="s">
        <v>37</v>
      </c>
      <c r="D26" s="5">
        <f>B26*N2*N3*N15/1000</f>
        <v>21705.543400380844</v>
      </c>
      <c r="E26" s="5" t="s">
        <v>8</v>
      </c>
      <c r="F26" s="9" t="s">
        <v>59</v>
      </c>
      <c r="G26" s="5">
        <v>6.6646999999999998E-2</v>
      </c>
      <c r="H26" s="5" t="s">
        <v>4</v>
      </c>
      <c r="I26" s="15">
        <f xml:space="preserve"> G26*$N$2*$N$3*N14</f>
        <v>302310.79199999996</v>
      </c>
      <c r="J26" s="10" t="s">
        <v>8</v>
      </c>
    </row>
    <row r="27" spans="1:10" x14ac:dyDescent="0.4">
      <c r="F27" s="7" t="s">
        <v>60</v>
      </c>
      <c r="G27" s="4">
        <v>454.26</v>
      </c>
      <c r="H27" s="4" t="s">
        <v>4</v>
      </c>
      <c r="I27" s="14">
        <f xml:space="preserve"> SUM(I28:I34)</f>
        <v>2068494286.7165012</v>
      </c>
      <c r="J27" s="8" t="s">
        <v>8</v>
      </c>
    </row>
    <row r="28" spans="1:10" x14ac:dyDescent="0.4">
      <c r="F28" s="9" t="s">
        <v>16</v>
      </c>
      <c r="G28" s="17">
        <v>3.4747200000000002E-9</v>
      </c>
      <c r="H28" s="5" t="s">
        <v>4</v>
      </c>
      <c r="I28" s="15">
        <f xml:space="preserve"> G28*$N$2*$N$3*N4</f>
        <v>2.4767804159999997E-2</v>
      </c>
      <c r="J28" s="10" t="s">
        <v>8</v>
      </c>
    </row>
    <row r="29" spans="1:10" x14ac:dyDescent="0.4">
      <c r="F29" s="9" t="s">
        <v>11</v>
      </c>
      <c r="G29" s="5">
        <v>1.7071600000000001E-3</v>
      </c>
      <c r="H29" s="5" t="s">
        <v>4</v>
      </c>
      <c r="I29" s="15">
        <f xml:space="preserve"> G29*$N$2*$N$3*N6</f>
        <v>4978.0785600000008</v>
      </c>
      <c r="J29" s="10" t="s">
        <v>8</v>
      </c>
    </row>
    <row r="30" spans="1:10" x14ac:dyDescent="0.4">
      <c r="F30" s="9" t="s">
        <v>45</v>
      </c>
      <c r="G30" s="5">
        <v>0</v>
      </c>
      <c r="H30" s="5" t="s">
        <v>4</v>
      </c>
      <c r="I30" s="15">
        <f xml:space="preserve"> G30*$N$2*$N$3*N10</f>
        <v>0</v>
      </c>
      <c r="J30" s="10" t="s">
        <v>8</v>
      </c>
    </row>
    <row r="31" spans="1:10" x14ac:dyDescent="0.4">
      <c r="F31" s="9" t="s">
        <v>17</v>
      </c>
      <c r="G31" s="5">
        <v>428.428</v>
      </c>
      <c r="H31" s="5" t="s">
        <v>4</v>
      </c>
      <c r="I31" s="15">
        <f xml:space="preserve"> G31*$N$2*$N$3*N7</f>
        <v>1943349408</v>
      </c>
      <c r="J31" s="10" t="s">
        <v>8</v>
      </c>
    </row>
    <row r="32" spans="1:10" x14ac:dyDescent="0.4">
      <c r="F32" s="9" t="s">
        <v>57</v>
      </c>
      <c r="G32" s="5">
        <v>8.4498099999999994</v>
      </c>
      <c r="H32" s="5" t="s">
        <v>4</v>
      </c>
      <c r="I32" s="15">
        <f xml:space="preserve"> G32*$N$2*$N$3*N11</f>
        <v>41066076.600000001</v>
      </c>
      <c r="J32" s="10" t="s">
        <v>8</v>
      </c>
    </row>
    <row r="33" spans="6:10" x14ac:dyDescent="0.4">
      <c r="F33" s="9" t="s">
        <v>58</v>
      </c>
      <c r="G33" s="5">
        <v>8.4702200000000001E-4</v>
      </c>
      <c r="H33" s="5" t="s">
        <v>4</v>
      </c>
      <c r="I33" s="15">
        <f xml:space="preserve"> G33*$N$2*$N$3*N13</f>
        <v>6321.6131734800001</v>
      </c>
      <c r="J33" s="10" t="s">
        <v>8</v>
      </c>
    </row>
    <row r="34" spans="6:10" x14ac:dyDescent="0.4">
      <c r="F34" s="9" t="s">
        <v>59</v>
      </c>
      <c r="G34" s="5">
        <v>18.5334</v>
      </c>
      <c r="H34" s="5" t="s">
        <v>4</v>
      </c>
      <c r="I34" s="15">
        <f xml:space="preserve"> G34*$N$2*$N$3*N14</f>
        <v>84067502.400000006</v>
      </c>
      <c r="J34" s="10" t="s">
        <v>8</v>
      </c>
    </row>
    <row r="35" spans="6:10" x14ac:dyDescent="0.4">
      <c r="F35" s="7" t="s">
        <v>61</v>
      </c>
      <c r="G35" s="4">
        <v>104.636</v>
      </c>
      <c r="H35" s="4" t="s">
        <v>4</v>
      </c>
      <c r="I35" s="14">
        <f xml:space="preserve"> SUM(I36:I41)</f>
        <v>238417295.42173672</v>
      </c>
      <c r="J35" s="8" t="s">
        <v>8</v>
      </c>
    </row>
    <row r="36" spans="6:10" x14ac:dyDescent="0.4">
      <c r="F36" s="9" t="s">
        <v>16</v>
      </c>
      <c r="G36" s="17">
        <v>1.46971E-12</v>
      </c>
      <c r="H36" s="5" t="s">
        <v>4</v>
      </c>
      <c r="I36" s="15">
        <f xml:space="preserve"> G36*$N$2*$N$3*N14</f>
        <v>6.6666045599999994E-6</v>
      </c>
      <c r="J36" s="10" t="s">
        <v>8</v>
      </c>
    </row>
    <row r="37" spans="6:10" x14ac:dyDescent="0.4">
      <c r="F37" s="9" t="s">
        <v>49</v>
      </c>
      <c r="G37" s="5">
        <v>1.9659</v>
      </c>
      <c r="H37" s="5" t="s">
        <v>4</v>
      </c>
      <c r="I37" s="15">
        <f xml:space="preserve"> G37*$N$2*$N$3*N8</f>
        <v>10191225.6</v>
      </c>
      <c r="J37" s="10" t="s">
        <v>8</v>
      </c>
    </row>
    <row r="38" spans="6:10" x14ac:dyDescent="0.4">
      <c r="F38" s="23" t="s">
        <v>11</v>
      </c>
      <c r="G38" s="24">
        <v>78.266199999999998</v>
      </c>
      <c r="H38" s="24" t="s">
        <v>4</v>
      </c>
      <c r="I38" s="24">
        <f xml:space="preserve"> G38*N2*N3*N6</f>
        <v>228224239.19999999</v>
      </c>
      <c r="J38" s="25" t="s">
        <v>8</v>
      </c>
    </row>
    <row r="39" spans="6:10" x14ac:dyDescent="0.4">
      <c r="F39" s="23" t="s">
        <v>17</v>
      </c>
      <c r="G39" s="24">
        <v>2.4107800000000001E-4</v>
      </c>
      <c r="H39" s="24" t="s">
        <v>4</v>
      </c>
      <c r="I39" s="24">
        <f xml:space="preserve"> G39*N3*N2*N7</f>
        <v>1093.529808</v>
      </c>
      <c r="J39" s="25" t="s">
        <v>8</v>
      </c>
    </row>
    <row r="40" spans="6:10" x14ac:dyDescent="0.4">
      <c r="F40" s="23" t="s">
        <v>58</v>
      </c>
      <c r="G40" s="26">
        <v>9.1064799999999996E-5</v>
      </c>
      <c r="H40" s="24" t="s">
        <v>4</v>
      </c>
      <c r="I40" s="26">
        <f xml:space="preserve"> G40*N2*N3*N13</f>
        <v>679.64756443199997</v>
      </c>
      <c r="J40" s="25" t="s">
        <v>8</v>
      </c>
    </row>
    <row r="41" spans="6:10" x14ac:dyDescent="0.4">
      <c r="F41" s="23" t="s">
        <v>77</v>
      </c>
      <c r="G41" s="26">
        <v>1.26641E-5</v>
      </c>
      <c r="H41" s="24" t="s">
        <v>4</v>
      </c>
      <c r="I41" s="26">
        <f xml:space="preserve"> G41*N3*N2*N14</f>
        <v>57.444357599999989</v>
      </c>
      <c r="J41" s="25" t="s">
        <v>8</v>
      </c>
    </row>
    <row r="42" spans="6:10" x14ac:dyDescent="0.4">
      <c r="F42" s="40" t="s">
        <v>62</v>
      </c>
      <c r="G42" s="34">
        <v>677.06700000000001</v>
      </c>
      <c r="H42" s="34" t="s">
        <v>4</v>
      </c>
      <c r="I42" s="41">
        <f xml:space="preserve"> SUM(I43:I45)</f>
        <v>2004160838.4000001</v>
      </c>
      <c r="J42" s="36" t="s">
        <v>8</v>
      </c>
    </row>
    <row r="43" spans="6:10" x14ac:dyDescent="0.4">
      <c r="F43" s="42" t="s">
        <v>11</v>
      </c>
      <c r="G43" s="37">
        <v>356.041</v>
      </c>
      <c r="H43" s="37" t="s">
        <v>4</v>
      </c>
      <c r="I43" s="43">
        <f xml:space="preserve"> G43*$N$2*$N$3*N6</f>
        <v>1038215556</v>
      </c>
      <c r="J43" s="39" t="s">
        <v>8</v>
      </c>
    </row>
    <row r="44" spans="6:10" x14ac:dyDescent="0.4">
      <c r="F44" s="42" t="s">
        <v>49</v>
      </c>
      <c r="G44" s="37">
        <v>16.0886</v>
      </c>
      <c r="H44" s="37" t="s">
        <v>4</v>
      </c>
      <c r="I44" s="43">
        <f xml:space="preserve"> G44*$N$2*$N$3*N8</f>
        <v>83403302.400000006</v>
      </c>
      <c r="J44" s="39" t="s">
        <v>8</v>
      </c>
    </row>
    <row r="45" spans="6:10" x14ac:dyDescent="0.4">
      <c r="F45" s="42" t="s">
        <v>57</v>
      </c>
      <c r="G45" s="37">
        <v>181.59299999999999</v>
      </c>
      <c r="H45" s="37" t="s">
        <v>4</v>
      </c>
      <c r="I45" s="43">
        <f xml:space="preserve"> G45*$N$2*$N$3*N11</f>
        <v>882541979.99999988</v>
      </c>
      <c r="J45" s="39" t="s">
        <v>8</v>
      </c>
    </row>
    <row r="46" spans="6:10" x14ac:dyDescent="0.4">
      <c r="F46" s="7" t="s">
        <v>63</v>
      </c>
      <c r="G46" s="4">
        <v>25.990500000000001</v>
      </c>
      <c r="H46" s="4" t="s">
        <v>4</v>
      </c>
      <c r="I46" s="14">
        <f xml:space="preserve"> SUM(I47:I48)</f>
        <v>133707210.948</v>
      </c>
      <c r="J46" s="8" t="s">
        <v>8</v>
      </c>
    </row>
    <row r="47" spans="6:10" x14ac:dyDescent="0.4">
      <c r="F47" s="9" t="s">
        <v>11</v>
      </c>
      <c r="G47" s="5">
        <v>0.45295299999999999</v>
      </c>
      <c r="H47" s="5" t="s">
        <v>4</v>
      </c>
      <c r="I47" s="15">
        <f xml:space="preserve"> G47*$N$2*$N$3*N6</f>
        <v>1320810.9479999999</v>
      </c>
      <c r="J47" s="10" t="s">
        <v>8</v>
      </c>
    </row>
    <row r="48" spans="6:10" ht="16.5" thickBot="1" x14ac:dyDescent="0.45">
      <c r="F48" s="11" t="s">
        <v>49</v>
      </c>
      <c r="G48" s="12">
        <v>25.537500000000001</v>
      </c>
      <c r="H48" s="12" t="s">
        <v>4</v>
      </c>
      <c r="I48" s="15">
        <f xml:space="preserve"> G48*$N$2*$N$3*N8</f>
        <v>132386400</v>
      </c>
      <c r="J48" s="13" t="s">
        <v>8</v>
      </c>
    </row>
    <row r="49" spans="6:10" x14ac:dyDescent="0.4">
      <c r="F49" s="62" t="s">
        <v>40</v>
      </c>
      <c r="G49" s="60"/>
      <c r="H49" s="60"/>
      <c r="I49" s="60"/>
      <c r="J49" s="60"/>
    </row>
    <row r="50" spans="6:10" x14ac:dyDescent="0.4">
      <c r="F50" s="51" t="s">
        <v>41</v>
      </c>
      <c r="G50" s="51"/>
      <c r="H50" s="51"/>
      <c r="I50" s="51"/>
      <c r="J50" s="52"/>
    </row>
    <row r="51" spans="6:10" x14ac:dyDescent="0.4">
      <c r="F51" s="5" t="s">
        <v>42</v>
      </c>
      <c r="G51" s="5">
        <f>B17</f>
        <v>741260</v>
      </c>
      <c r="H51" s="5" t="s">
        <v>32</v>
      </c>
      <c r="I51" s="5">
        <f xml:space="preserve"> G51*N15</f>
        <v>336229.88018620003</v>
      </c>
      <c r="J51" s="5" t="s">
        <v>8</v>
      </c>
    </row>
  </sheetData>
  <mergeCells count="8">
    <mergeCell ref="F50:J50"/>
    <mergeCell ref="F49:J49"/>
    <mergeCell ref="A1:E1"/>
    <mergeCell ref="F1:J1"/>
    <mergeCell ref="A15:E15"/>
    <mergeCell ref="A16:E16"/>
    <mergeCell ref="A18:E18"/>
    <mergeCell ref="A21:E21"/>
  </mergeCells>
  <pageMargins left="0.7" right="0.7" top="0.75" bottom="0.75" header="0.3" footer="0.3"/>
  <ignoredErrors>
    <ignoredError sqref="I22" 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A56B8A-AC65-3644-A1CC-AE10ACFBFFE3}">
  <dimension ref="A1:N47"/>
  <sheetViews>
    <sheetView topLeftCell="A3" workbookViewId="0">
      <selection activeCell="M27" sqref="M27"/>
    </sheetView>
  </sheetViews>
  <sheetFormatPr defaultColWidth="10.6640625" defaultRowHeight="16" x14ac:dyDescent="0.4"/>
  <cols>
    <col min="1" max="1" width="23.1640625" customWidth="1"/>
    <col min="2" max="2" width="23.83203125" customWidth="1"/>
    <col min="3" max="3" width="13.6640625" customWidth="1"/>
    <col min="4" max="4" width="16.6640625" customWidth="1"/>
    <col min="6" max="6" width="20.83203125" customWidth="1"/>
    <col min="7" max="7" width="16.1640625" customWidth="1"/>
    <col min="9" max="9" width="19.1640625" customWidth="1"/>
    <col min="10" max="10" width="16.5" customWidth="1"/>
    <col min="13" max="13" width="27.5" customWidth="1"/>
  </cols>
  <sheetData>
    <row r="1" spans="1:14" x14ac:dyDescent="0.4">
      <c r="A1" s="53" t="s">
        <v>25</v>
      </c>
      <c r="B1" s="54"/>
      <c r="C1" s="54"/>
      <c r="D1" s="54"/>
      <c r="E1" s="55"/>
      <c r="F1" s="53" t="s">
        <v>26</v>
      </c>
      <c r="G1" s="54"/>
      <c r="H1" s="54"/>
      <c r="I1" s="54"/>
      <c r="J1" s="56"/>
      <c r="K1" t="s">
        <v>22</v>
      </c>
      <c r="M1" t="s">
        <v>15</v>
      </c>
      <c r="N1">
        <v>3600</v>
      </c>
    </row>
    <row r="2" spans="1:14" ht="16.5" thickBot="1" x14ac:dyDescent="0.45">
      <c r="A2" s="1" t="s">
        <v>2</v>
      </c>
      <c r="B2" s="2" t="s">
        <v>0</v>
      </c>
      <c r="C2" s="2" t="s">
        <v>1</v>
      </c>
      <c r="D2" s="2" t="s">
        <v>19</v>
      </c>
      <c r="E2" s="3" t="s">
        <v>20</v>
      </c>
      <c r="F2" s="1" t="s">
        <v>2</v>
      </c>
      <c r="G2" s="2" t="s">
        <v>0</v>
      </c>
      <c r="H2" s="2" t="s">
        <v>1</v>
      </c>
      <c r="I2" s="2" t="s">
        <v>19</v>
      </c>
      <c r="J2" s="6" t="s">
        <v>20</v>
      </c>
      <c r="M2" t="s">
        <v>5</v>
      </c>
      <c r="N2">
        <f xml:space="preserve"> 8100</f>
        <v>8100</v>
      </c>
    </row>
    <row r="3" spans="1:14" x14ac:dyDescent="0.4">
      <c r="A3" s="7" t="s">
        <v>16</v>
      </c>
      <c r="B3" s="4">
        <v>505.49200000000002</v>
      </c>
      <c r="C3" s="4" t="s">
        <v>4</v>
      </c>
      <c r="D3" s="14">
        <f xml:space="preserve"> SUM(D4:D7)</f>
        <v>3582345086.4481864</v>
      </c>
      <c r="E3" s="4" t="s">
        <v>8</v>
      </c>
      <c r="F3" s="7" t="s">
        <v>48</v>
      </c>
      <c r="G3" s="4">
        <v>39.294699999999999</v>
      </c>
      <c r="H3" s="4" t="s">
        <v>4</v>
      </c>
      <c r="I3" s="14">
        <f xml:space="preserve"> SUM(I4:I6)</f>
        <v>114583522.78969534</v>
      </c>
      <c r="J3" s="8" t="s">
        <v>8</v>
      </c>
      <c r="M3" s="5" t="s">
        <v>6</v>
      </c>
      <c r="N3" s="5">
        <v>20</v>
      </c>
    </row>
    <row r="4" spans="1:14" x14ac:dyDescent="0.4">
      <c r="A4" s="9" t="s">
        <v>16</v>
      </c>
      <c r="B4" s="5">
        <f xml:space="preserve"> B3*0.989613</f>
        <v>500.24145459599998</v>
      </c>
      <c r="C4" s="5" t="s">
        <v>4</v>
      </c>
      <c r="D4" s="15">
        <f xml:space="preserve"> B4*N2*N3*N4</f>
        <v>3565721088.3602877</v>
      </c>
      <c r="E4" s="5" t="s">
        <v>8</v>
      </c>
      <c r="F4" s="9" t="s">
        <v>49</v>
      </c>
      <c r="G4" s="5">
        <f>G3*0.00000199673</f>
        <v>7.8460906330999987E-5</v>
      </c>
      <c r="H4" s="5" t="s">
        <v>4</v>
      </c>
      <c r="I4" s="15">
        <f xml:space="preserve"> G4*N2*N3*N8</f>
        <v>406.74133841990397</v>
      </c>
      <c r="J4" s="10" t="s">
        <v>8</v>
      </c>
      <c r="M4" t="s">
        <v>7</v>
      </c>
      <c r="N4">
        <v>44</v>
      </c>
    </row>
    <row r="5" spans="1:14" x14ac:dyDescent="0.4">
      <c r="A5" s="9" t="s">
        <v>11</v>
      </c>
      <c r="B5" s="5">
        <f xml:space="preserve"> B3*0.00878377</f>
        <v>4.4401254648400004</v>
      </c>
      <c r="C5" s="5" t="s">
        <v>4</v>
      </c>
      <c r="D5" s="15">
        <f xml:space="preserve"> B5*N2*N3*N6</f>
        <v>12947405.85547344</v>
      </c>
      <c r="E5" s="5" t="s">
        <v>8</v>
      </c>
      <c r="F5" s="9" t="s">
        <v>11</v>
      </c>
      <c r="G5" s="5">
        <f xml:space="preserve"> G3*0.999998</f>
        <v>39.294621410600001</v>
      </c>
      <c r="H5" s="5" t="s">
        <v>4</v>
      </c>
      <c r="I5" s="15">
        <f xml:space="preserve"> G5*N2*N3*N6</f>
        <v>114583116.03330961</v>
      </c>
      <c r="J5" s="10" t="s">
        <v>8</v>
      </c>
      <c r="M5" t="s">
        <v>10</v>
      </c>
      <c r="N5">
        <v>61.08</v>
      </c>
    </row>
    <row r="6" spans="1:14" x14ac:dyDescent="0.4">
      <c r="A6" s="5" t="s">
        <v>17</v>
      </c>
      <c r="B6" s="5">
        <f>B3*0.00160346</f>
        <v>0.81053620232000001</v>
      </c>
      <c r="C6" s="5" t="s">
        <v>4</v>
      </c>
      <c r="D6" s="15">
        <f xml:space="preserve"> B6*N2*N3*N7</f>
        <v>3676592.2137235207</v>
      </c>
      <c r="E6" s="5" t="s">
        <v>8</v>
      </c>
      <c r="F6" s="9" t="s">
        <v>9</v>
      </c>
      <c r="G6" s="5">
        <f xml:space="preserve"> G3*0.0000000000387</f>
        <v>1.52070489E-9</v>
      </c>
      <c r="H6" s="5" t="s">
        <v>4</v>
      </c>
      <c r="I6" s="15">
        <f>G6*N2*N3*N5</f>
        <v>1.50473140583544E-2</v>
      </c>
      <c r="J6" s="10" t="s">
        <v>8</v>
      </c>
      <c r="M6" t="s">
        <v>12</v>
      </c>
      <c r="N6">
        <v>18</v>
      </c>
    </row>
    <row r="7" spans="1:14" x14ac:dyDescent="0.4">
      <c r="A7" s="9" t="s">
        <v>9</v>
      </c>
      <c r="B7" s="5">
        <f xml:space="preserve"> B3*0.00000000000373893</f>
        <v>1.8899992035600001E-9</v>
      </c>
      <c r="C7" s="5" t="s">
        <v>4</v>
      </c>
      <c r="D7" s="15">
        <f xml:space="preserve"> B7*N2*N3*N5</f>
        <v>1.8701466519258057E-2</v>
      </c>
      <c r="E7" s="5" t="s">
        <v>8</v>
      </c>
      <c r="F7" s="7" t="s">
        <v>47</v>
      </c>
      <c r="G7" s="4">
        <v>1304.29</v>
      </c>
      <c r="H7" s="4" t="s">
        <v>4</v>
      </c>
      <c r="I7" s="14">
        <f xml:space="preserve"> SUM(I8:I15)</f>
        <v>5314757484.5393991</v>
      </c>
      <c r="J7" s="8" t="s">
        <v>8</v>
      </c>
      <c r="M7" t="s">
        <v>18</v>
      </c>
      <c r="N7">
        <v>28</v>
      </c>
    </row>
    <row r="8" spans="1:14" x14ac:dyDescent="0.4">
      <c r="A8" s="4" t="s">
        <v>43</v>
      </c>
      <c r="B8" s="4">
        <v>1200</v>
      </c>
      <c r="C8" s="4" t="s">
        <v>4</v>
      </c>
      <c r="D8" s="14">
        <f xml:space="preserve"> D9</f>
        <v>3499200000</v>
      </c>
      <c r="E8" s="4" t="s">
        <v>8</v>
      </c>
      <c r="F8" s="9" t="s">
        <v>16</v>
      </c>
      <c r="G8" s="5">
        <f xml:space="preserve"> G7*0.0783215</f>
        <v>102.153949235</v>
      </c>
      <c r="H8" s="5" t="s">
        <v>4</v>
      </c>
      <c r="I8" s="15">
        <f xml:space="preserve"> G8*$N$2*$N$3*N4</f>
        <v>728153350.14707994</v>
      </c>
      <c r="J8" s="10" t="s">
        <v>8</v>
      </c>
      <c r="M8" t="s">
        <v>52</v>
      </c>
      <c r="N8">
        <f xml:space="preserve"> 12+3+16+1</f>
        <v>32</v>
      </c>
    </row>
    <row r="9" spans="1:14" x14ac:dyDescent="0.4">
      <c r="A9" s="5" t="s">
        <v>11</v>
      </c>
      <c r="B9" s="5">
        <f xml:space="preserve"> B8*1</f>
        <v>1200</v>
      </c>
      <c r="C9" s="5" t="s">
        <v>4</v>
      </c>
      <c r="D9" s="15">
        <f xml:space="preserve"> B9*N2*N3*N6</f>
        <v>3499200000</v>
      </c>
      <c r="E9" s="5" t="s">
        <v>8</v>
      </c>
      <c r="F9" s="9" t="s">
        <v>11</v>
      </c>
      <c r="G9" s="5">
        <f xml:space="preserve"> G7*0.000521793</f>
        <v>0.68056939196999999</v>
      </c>
      <c r="H9" s="5" t="s">
        <v>4</v>
      </c>
      <c r="I9" s="15">
        <f xml:space="preserve"> G9*$N$2*$N$3*N6</f>
        <v>1984540.3469845201</v>
      </c>
      <c r="J9" s="10" t="s">
        <v>8</v>
      </c>
      <c r="M9" t="s">
        <v>53</v>
      </c>
      <c r="N9">
        <f xml:space="preserve"> 16</f>
        <v>16</v>
      </c>
    </row>
    <row r="10" spans="1:14" x14ac:dyDescent="0.4">
      <c r="A10" s="4" t="s">
        <v>44</v>
      </c>
      <c r="B10" s="4">
        <v>544</v>
      </c>
      <c r="C10" s="4" t="s">
        <v>4</v>
      </c>
      <c r="D10" s="14">
        <f xml:space="preserve"> SUM(D11:D12)</f>
        <v>2541611520</v>
      </c>
      <c r="E10" s="4" t="s">
        <v>8</v>
      </c>
      <c r="F10" s="9" t="s">
        <v>49</v>
      </c>
      <c r="G10" s="5">
        <f xml:space="preserve"> G7*0.00123541</f>
        <v>1.6113329088999999</v>
      </c>
      <c r="H10" s="5" t="s">
        <v>4</v>
      </c>
      <c r="I10" s="15">
        <f xml:space="preserve"> G10*$N$2*$N$3*N8</f>
        <v>8353149.7997375997</v>
      </c>
      <c r="J10" s="10" t="s">
        <v>8</v>
      </c>
      <c r="M10" t="s">
        <v>54</v>
      </c>
      <c r="N10">
        <f xml:space="preserve"> 32</f>
        <v>32</v>
      </c>
    </row>
    <row r="11" spans="1:14" x14ac:dyDescent="0.4">
      <c r="A11" s="5" t="s">
        <v>45</v>
      </c>
      <c r="B11" s="5">
        <f xml:space="preserve"> B10*0.21</f>
        <v>114.24</v>
      </c>
      <c r="C11" s="5" t="s">
        <v>4</v>
      </c>
      <c r="D11" s="15">
        <f xml:space="preserve"> B11*N2*N3*N10</f>
        <v>592220160</v>
      </c>
      <c r="E11" s="5" t="s">
        <v>8</v>
      </c>
      <c r="F11" s="9" t="s">
        <v>9</v>
      </c>
      <c r="G11" s="5">
        <f xml:space="preserve"> G7*0.000000000000000116</f>
        <v>1.5129764000000002E-13</v>
      </c>
      <c r="H11" s="5" t="s">
        <v>4</v>
      </c>
      <c r="I11" s="15">
        <f xml:space="preserve"> G11*$N$2*$N$3*N5</f>
        <v>1.4970840958944001E-6</v>
      </c>
      <c r="J11" s="10" t="s">
        <v>8</v>
      </c>
      <c r="M11" t="s">
        <v>64</v>
      </c>
      <c r="N11">
        <f xml:space="preserve"> 12+2+16</f>
        <v>30</v>
      </c>
    </row>
    <row r="12" spans="1:14" x14ac:dyDescent="0.4">
      <c r="A12" s="5" t="s">
        <v>17</v>
      </c>
      <c r="B12" s="5">
        <f xml:space="preserve"> B10*0.79</f>
        <v>429.76</v>
      </c>
      <c r="C12" s="5" t="s">
        <v>4</v>
      </c>
      <c r="D12" s="15">
        <f xml:space="preserve"> B12*N2*N3*N7</f>
        <v>1949391360</v>
      </c>
      <c r="E12" s="5" t="s">
        <v>8</v>
      </c>
      <c r="F12" s="9" t="s">
        <v>50</v>
      </c>
      <c r="G12" s="5">
        <f xml:space="preserve"> G7*0.103772</f>
        <v>135.34878187999999</v>
      </c>
      <c r="H12" s="5" t="s">
        <v>4</v>
      </c>
      <c r="I12" s="15">
        <f xml:space="preserve"> G12*$N$2*$N$3*N9</f>
        <v>350824042.63296002</v>
      </c>
      <c r="J12" s="10" t="s">
        <v>8</v>
      </c>
      <c r="M12" t="s">
        <v>65</v>
      </c>
      <c r="N12">
        <v>2</v>
      </c>
    </row>
    <row r="13" spans="1:14" x14ac:dyDescent="0.4">
      <c r="A13" s="4" t="s">
        <v>46</v>
      </c>
      <c r="B13" s="4">
        <v>348</v>
      </c>
      <c r="C13" s="4" t="s">
        <v>4</v>
      </c>
      <c r="D13" s="14">
        <f xml:space="preserve"> D14</f>
        <v>1014768000</v>
      </c>
      <c r="E13" s="4" t="s">
        <v>8</v>
      </c>
      <c r="F13" s="9" t="s">
        <v>51</v>
      </c>
      <c r="G13" s="5">
        <f xml:space="preserve"> G7*0.203882</f>
        <v>265.92125378000003</v>
      </c>
      <c r="H13" s="5" t="s">
        <v>4</v>
      </c>
      <c r="I13" s="15">
        <f xml:space="preserve"> G13*$N$2*$N$3*N12</f>
        <v>86158486.224720016</v>
      </c>
      <c r="J13" s="10" t="s">
        <v>8</v>
      </c>
      <c r="M13" t="s">
        <v>66</v>
      </c>
      <c r="N13">
        <v>46.07</v>
      </c>
    </row>
    <row r="14" spans="1:14" ht="16.5" thickBot="1" x14ac:dyDescent="0.45">
      <c r="A14" s="5" t="s">
        <v>11</v>
      </c>
      <c r="B14" s="5">
        <f xml:space="preserve"> B13*1</f>
        <v>348</v>
      </c>
      <c r="C14" s="5" t="s">
        <v>4</v>
      </c>
      <c r="D14" s="15">
        <f xml:space="preserve"> B14*N2*N3*N6</f>
        <v>1014768000</v>
      </c>
      <c r="E14" s="5" t="s">
        <v>8</v>
      </c>
      <c r="F14" s="9" t="s">
        <v>45</v>
      </c>
      <c r="G14" s="5">
        <f xml:space="preserve"> G7*0.611646</f>
        <v>797.76376133999997</v>
      </c>
      <c r="H14" s="5" t="s">
        <v>4</v>
      </c>
      <c r="I14" s="15">
        <f xml:space="preserve"> G14*$N$2*$N$3*N10</f>
        <v>4135607338.7865596</v>
      </c>
      <c r="J14" s="10" t="s">
        <v>8</v>
      </c>
      <c r="M14" t="s">
        <v>67</v>
      </c>
      <c r="N14">
        <v>28</v>
      </c>
    </row>
    <row r="15" spans="1:14" x14ac:dyDescent="0.4">
      <c r="A15" s="62" t="s">
        <v>24</v>
      </c>
      <c r="B15" s="60"/>
      <c r="C15" s="60"/>
      <c r="D15" s="60"/>
      <c r="E15" s="61"/>
      <c r="F15" s="9" t="s">
        <v>17</v>
      </c>
      <c r="G15" s="5">
        <f xml:space="preserve"> G7*0.000621436</f>
        <v>0.81053276043999989</v>
      </c>
      <c r="H15" s="5" t="s">
        <v>4</v>
      </c>
      <c r="I15" s="15">
        <f xml:space="preserve"> G15*$N$2*$N$3*N7</f>
        <v>3676576.6013558395</v>
      </c>
      <c r="J15" s="10" t="s">
        <v>8</v>
      </c>
      <c r="M15" t="s">
        <v>33</v>
      </c>
      <c r="N15">
        <v>0.45359237000000002</v>
      </c>
    </row>
    <row r="16" spans="1:14" x14ac:dyDescent="0.4">
      <c r="A16" s="51" t="s">
        <v>68</v>
      </c>
      <c r="B16" s="51"/>
      <c r="C16" s="51"/>
      <c r="D16" s="51"/>
      <c r="E16" s="52"/>
      <c r="F16" s="7" t="s">
        <v>55</v>
      </c>
      <c r="G16" s="4">
        <f xml:space="preserve"> 103.598</f>
        <v>103.598</v>
      </c>
      <c r="H16" s="4" t="s">
        <v>4</v>
      </c>
      <c r="I16" s="14">
        <f xml:space="preserve"> SUM(I17:I18)</f>
        <v>315135479.64555359</v>
      </c>
      <c r="J16" s="8" t="s">
        <v>8</v>
      </c>
      <c r="M16" t="s">
        <v>76</v>
      </c>
      <c r="N16">
        <f>1000000*4.54609</f>
        <v>4546090</v>
      </c>
    </row>
    <row r="17" spans="1:10" ht="16.5" thickBot="1" x14ac:dyDescent="0.45">
      <c r="A17" s="5" t="s">
        <v>27</v>
      </c>
      <c r="B17" s="5">
        <f>680430</f>
        <v>680430</v>
      </c>
      <c r="C17" s="5" t="s">
        <v>32</v>
      </c>
      <c r="D17" s="5">
        <f xml:space="preserve"> B17*N15</f>
        <v>308637.85631910001</v>
      </c>
      <c r="E17" s="5" t="s">
        <v>8</v>
      </c>
      <c r="F17" s="9" t="s">
        <v>11</v>
      </c>
      <c r="G17" s="5">
        <f xml:space="preserve"> G16*0.944485</f>
        <v>97.846757030000006</v>
      </c>
      <c r="H17" s="5" t="s">
        <v>4</v>
      </c>
      <c r="I17" s="15">
        <f xml:space="preserve"> G17*$N$2*$N$3*N6</f>
        <v>285321143.49948001</v>
      </c>
      <c r="J17" s="10" t="s">
        <v>8</v>
      </c>
    </row>
    <row r="18" spans="1:10" x14ac:dyDescent="0.4">
      <c r="A18" s="62" t="s">
        <v>28</v>
      </c>
      <c r="B18" s="60"/>
      <c r="C18" s="60"/>
      <c r="D18" s="60"/>
      <c r="E18" s="61"/>
      <c r="F18" s="9" t="s">
        <v>49</v>
      </c>
      <c r="G18" s="5">
        <f xml:space="preserve"> G16*0.0555148</f>
        <v>5.7512222504000006</v>
      </c>
      <c r="H18" s="5" t="s">
        <v>4</v>
      </c>
      <c r="I18" s="15">
        <f xml:space="preserve"> G18*$N$2*$N$3*N8</f>
        <v>29814336.146073602</v>
      </c>
      <c r="J18" s="10" t="s">
        <v>8</v>
      </c>
    </row>
    <row r="19" spans="1:10" x14ac:dyDescent="0.4">
      <c r="A19" s="18" t="s">
        <v>34</v>
      </c>
      <c r="B19" s="18"/>
      <c r="C19" s="18"/>
      <c r="D19" s="18"/>
      <c r="E19" s="18"/>
      <c r="F19" s="7" t="s">
        <v>56</v>
      </c>
      <c r="G19" s="4">
        <v>1.9859199999999999</v>
      </c>
      <c r="H19" s="4" t="s">
        <v>4</v>
      </c>
      <c r="I19" s="14">
        <f xml:space="preserve"> SUM(I20:I26)</f>
        <v>9666672.7731325161</v>
      </c>
      <c r="J19" s="8" t="s">
        <v>8</v>
      </c>
    </row>
    <row r="20" spans="1:10" ht="16.5" thickBot="1" x14ac:dyDescent="0.45">
      <c r="A20" s="5" t="s">
        <v>29</v>
      </c>
      <c r="B20" s="17">
        <v>4.0000000000000001E-10</v>
      </c>
      <c r="C20" s="5" t="s">
        <v>8</v>
      </c>
      <c r="D20" s="17">
        <v>4.0000000000000001E-10</v>
      </c>
      <c r="E20" s="5" t="s">
        <v>8</v>
      </c>
      <c r="F20" s="9" t="s">
        <v>11</v>
      </c>
      <c r="G20" s="5">
        <f xml:space="preserve"> G19*0.112409</f>
        <v>0.22323528127999998</v>
      </c>
      <c r="H20" s="5" t="s">
        <v>4</v>
      </c>
      <c r="I20" s="15">
        <f xml:space="preserve"> G20*$N$2*$N$3*N6</f>
        <v>650954.08021247992</v>
      </c>
      <c r="J20" s="10" t="s">
        <v>8</v>
      </c>
    </row>
    <row r="21" spans="1:10" x14ac:dyDescent="0.4">
      <c r="A21" s="62" t="s">
        <v>30</v>
      </c>
      <c r="B21" s="60"/>
      <c r="C21" s="60"/>
      <c r="D21" s="60"/>
      <c r="E21" s="61"/>
      <c r="F21" s="9" t="s">
        <v>49</v>
      </c>
      <c r="G21" s="5">
        <f xml:space="preserve"> G19*0.00192746</f>
        <v>3.8277813631999997E-3</v>
      </c>
      <c r="H21" s="5" t="s">
        <v>4</v>
      </c>
      <c r="I21" s="15">
        <f xml:space="preserve"> G21*$N$2*$N$3*N8</f>
        <v>19843.2185868288</v>
      </c>
      <c r="J21" s="10" t="s">
        <v>8</v>
      </c>
    </row>
    <row r="22" spans="1:10" x14ac:dyDescent="0.4">
      <c r="A22" s="4" t="s">
        <v>31</v>
      </c>
      <c r="B22" s="4"/>
      <c r="C22" s="4"/>
      <c r="D22" s="4"/>
      <c r="E22" s="4"/>
      <c r="F22" s="9" t="s">
        <v>45</v>
      </c>
      <c r="G22" s="5">
        <f xml:space="preserve"> G19*0.00552044</f>
        <v>1.0963152204799998E-2</v>
      </c>
      <c r="H22" s="5" t="s">
        <v>4</v>
      </c>
      <c r="I22" s="15">
        <f xml:space="preserve"> G22*$N$2*$N$3*N10</f>
        <v>56832.981029683186</v>
      </c>
      <c r="J22" s="10" t="s">
        <v>8</v>
      </c>
    </row>
    <row r="23" spans="1:10" x14ac:dyDescent="0.4">
      <c r="A23" s="5" t="s">
        <v>39</v>
      </c>
      <c r="B23" s="5">
        <v>153.21600000000001</v>
      </c>
      <c r="C23" s="5" t="s">
        <v>35</v>
      </c>
      <c r="D23" s="5">
        <f>B23*N1*N3*N2/1000</f>
        <v>89355571.200000003</v>
      </c>
      <c r="E23" s="5" t="s">
        <v>38</v>
      </c>
      <c r="F23" s="9" t="s">
        <v>17</v>
      </c>
      <c r="G23" s="5">
        <f xml:space="preserve"> G19*0.695081</f>
        <v>1.3803752595199998</v>
      </c>
      <c r="H23" s="5" t="s">
        <v>4</v>
      </c>
      <c r="I23" s="15">
        <f xml:space="preserve"> G23*$N$2*$N$3*N10</f>
        <v>7155865.3453516793</v>
      </c>
      <c r="J23" s="10" t="s">
        <v>8</v>
      </c>
    </row>
    <row r="24" spans="1:10" x14ac:dyDescent="0.4">
      <c r="A24" s="5" t="s">
        <v>69</v>
      </c>
      <c r="B24" s="5">
        <v>1.0654300000000001</v>
      </c>
      <c r="C24" s="5" t="s">
        <v>75</v>
      </c>
      <c r="D24" s="5">
        <f>(B24/1000)*N16*N2*N3</f>
        <v>784653588.32940006</v>
      </c>
      <c r="E24" s="5" t="s">
        <v>8</v>
      </c>
      <c r="F24" s="9" t="s">
        <v>57</v>
      </c>
      <c r="G24" s="5">
        <f xml:space="preserve"> G19*0.16222</f>
        <v>0.32215594240000001</v>
      </c>
      <c r="H24" s="5" t="s">
        <v>4</v>
      </c>
      <c r="I24" s="15">
        <f xml:space="preserve"> G24*$N$2*$N$3*N11</f>
        <v>1565677.8800640001</v>
      </c>
      <c r="J24" s="10" t="s">
        <v>8</v>
      </c>
    </row>
    <row r="25" spans="1:10" x14ac:dyDescent="0.4">
      <c r="A25" s="5" t="s">
        <v>70</v>
      </c>
      <c r="B25" s="5">
        <v>979.44399999999996</v>
      </c>
      <c r="C25" s="5" t="s">
        <v>37</v>
      </c>
      <c r="D25" s="5">
        <f>B25*N2*N3*N15/1000</f>
        <v>71971.468689249363</v>
      </c>
      <c r="E25" s="5" t="s">
        <v>8</v>
      </c>
      <c r="F25" s="9" t="s">
        <v>58</v>
      </c>
      <c r="G25" s="5">
        <f>G19*0.0020179</f>
        <v>4.0073879679999999E-3</v>
      </c>
      <c r="H25" s="5" t="s">
        <v>4</v>
      </c>
      <c r="I25" s="15">
        <f xml:space="preserve"> G25*$N$2*$N$3*N13</f>
        <v>29908.498917093119</v>
      </c>
      <c r="J25" s="10" t="s">
        <v>8</v>
      </c>
    </row>
    <row r="26" spans="1:10" x14ac:dyDescent="0.4">
      <c r="A26" s="5" t="s">
        <v>71</v>
      </c>
      <c r="B26" s="5">
        <v>296.81200000000001</v>
      </c>
      <c r="C26" s="5" t="s">
        <v>37</v>
      </c>
      <c r="D26" s="5">
        <f>B26*N2*N3*N15/1000</f>
        <v>21810.328680959279</v>
      </c>
      <c r="E26" s="5" t="s">
        <v>8</v>
      </c>
      <c r="F26" s="9" t="s">
        <v>59</v>
      </c>
      <c r="G26" s="5">
        <f xml:space="preserve"> G19*0.0208246</f>
        <v>4.1355989631999997E-2</v>
      </c>
      <c r="H26" s="5" t="s">
        <v>4</v>
      </c>
      <c r="I26" s="15">
        <f xml:space="preserve"> G26*$N$2*$N$3*N14</f>
        <v>187590.76897075196</v>
      </c>
      <c r="J26" s="10" t="s">
        <v>8</v>
      </c>
    </row>
    <row r="27" spans="1:10" x14ac:dyDescent="0.4">
      <c r="F27" s="7" t="s">
        <v>60</v>
      </c>
      <c r="G27" s="4">
        <v>454.26</v>
      </c>
      <c r="H27" s="4" t="s">
        <v>4</v>
      </c>
      <c r="I27" s="14">
        <f xml:space="preserve"> SUM(I28:I34)</f>
        <v>2066009660.956079</v>
      </c>
      <c r="J27" s="8" t="s">
        <v>8</v>
      </c>
    </row>
    <row r="28" spans="1:10" x14ac:dyDescent="0.4">
      <c r="F28" s="9" t="s">
        <v>16</v>
      </c>
      <c r="G28" s="5">
        <f xml:space="preserve"> G27*0.00000000000776902</f>
        <v>3.5291550252000002E-9</v>
      </c>
      <c r="H28" s="5" t="s">
        <v>4</v>
      </c>
      <c r="I28" s="15">
        <f xml:space="preserve"> G28*$N$2*$N$3*N4</f>
        <v>2.51558170196256E-2</v>
      </c>
      <c r="J28" s="10" t="s">
        <v>8</v>
      </c>
    </row>
    <row r="29" spans="1:10" x14ac:dyDescent="0.4">
      <c r="F29" s="9" t="s">
        <v>11</v>
      </c>
      <c r="G29" s="5">
        <f xml:space="preserve"> G27*0.0000050986</f>
        <v>2.3160900359999997E-3</v>
      </c>
      <c r="H29" s="5" t="s">
        <v>4</v>
      </c>
      <c r="I29" s="15">
        <f xml:space="preserve"> G29*$N$2*$N$3*N6</f>
        <v>6753.718544976</v>
      </c>
      <c r="J29" s="10" t="s">
        <v>8</v>
      </c>
    </row>
    <row r="30" spans="1:10" x14ac:dyDescent="0.4">
      <c r="F30" s="9" t="s">
        <v>45</v>
      </c>
      <c r="G30" s="5">
        <f xml:space="preserve"> G27*0.00482476</f>
        <v>2.1916954776000002</v>
      </c>
      <c r="H30" s="5" t="s">
        <v>4</v>
      </c>
      <c r="I30" s="15">
        <f xml:space="preserve"> G30*$N$2*$N$3*N10</f>
        <v>11361749.355878402</v>
      </c>
      <c r="J30" s="10" t="s">
        <v>8</v>
      </c>
    </row>
    <row r="31" spans="1:10" x14ac:dyDescent="0.4">
      <c r="F31" s="9" t="s">
        <v>17</v>
      </c>
      <c r="G31" s="5">
        <f>G27*0.943026</f>
        <v>428.37899076000002</v>
      </c>
      <c r="H31" s="5" t="s">
        <v>4</v>
      </c>
      <c r="I31" s="15">
        <f xml:space="preserve"> G31*$N$2*$N$3*N7</f>
        <v>1943127102.0873601</v>
      </c>
      <c r="J31" s="10" t="s">
        <v>8</v>
      </c>
    </row>
    <row r="32" spans="1:10" x14ac:dyDescent="0.4">
      <c r="F32" s="9" t="s">
        <v>57</v>
      </c>
      <c r="G32" s="5">
        <f>G27*0.0276423</f>
        <v>12.556791198000001</v>
      </c>
      <c r="H32" s="5" t="s">
        <v>4</v>
      </c>
      <c r="I32" s="15">
        <f xml:space="preserve"> G32*$N$2*$N$3*N11</f>
        <v>61026005.222280011</v>
      </c>
      <c r="J32" s="10" t="s">
        <v>8</v>
      </c>
    </row>
    <row r="33" spans="6:10" x14ac:dyDescent="0.4">
      <c r="F33" s="9" t="s">
        <v>58</v>
      </c>
      <c r="G33" s="5">
        <f xml:space="preserve"> G27*0.000000934344</f>
        <v>4.2443510544000002E-4</v>
      </c>
      <c r="H33" s="5" t="s">
        <v>4</v>
      </c>
      <c r="I33" s="15">
        <f xml:space="preserve"> G33*$N$2*$N$3*N13</f>
        <v>3167.7034998345698</v>
      </c>
      <c r="J33" s="10" t="s">
        <v>8</v>
      </c>
    </row>
    <row r="34" spans="6:10" x14ac:dyDescent="0.4">
      <c r="F34" s="9" t="s">
        <v>59</v>
      </c>
      <c r="G34" s="5">
        <f xml:space="preserve"> G27*0.024501</f>
        <v>11.129824259999999</v>
      </c>
      <c r="H34" s="5" t="s">
        <v>4</v>
      </c>
      <c r="I34" s="15">
        <f xml:space="preserve"> G34*$N$2*$N$3*N14</f>
        <v>50484882.843359999</v>
      </c>
      <c r="J34" s="10" t="s">
        <v>8</v>
      </c>
    </row>
    <row r="35" spans="6:10" x14ac:dyDescent="0.4">
      <c r="F35" s="7" t="s">
        <v>61</v>
      </c>
      <c r="G35" s="4">
        <v>104.636</v>
      </c>
      <c r="H35" s="4" t="s">
        <v>4</v>
      </c>
      <c r="I35" s="14">
        <f xml:space="preserve"> SUM(I36:I37)</f>
        <v>475165592.79477113</v>
      </c>
      <c r="J35" s="8" t="s">
        <v>8</v>
      </c>
    </row>
    <row r="36" spans="6:10" x14ac:dyDescent="0.4">
      <c r="F36" s="9" t="s">
        <v>16</v>
      </c>
      <c r="G36" s="5">
        <f xml:space="preserve"> G35*0.992055</f>
        <v>103.80466697999999</v>
      </c>
      <c r="H36" s="5" t="s">
        <v>4</v>
      </c>
      <c r="I36" s="15">
        <f xml:space="preserve"> G36*$N$2*$N$3*N14</f>
        <v>470857969.42127991</v>
      </c>
      <c r="J36" s="10" t="s">
        <v>8</v>
      </c>
    </row>
    <row r="37" spans="6:10" x14ac:dyDescent="0.4">
      <c r="F37" s="9" t="s">
        <v>49</v>
      </c>
      <c r="G37" s="5">
        <f xml:space="preserve"> G35*0.0079413</f>
        <v>0.83094586679999993</v>
      </c>
      <c r="H37" s="5" t="s">
        <v>4</v>
      </c>
      <c r="I37" s="15">
        <f xml:space="preserve"> G37*$N$2*$N$3*N8</f>
        <v>4307623.3734911997</v>
      </c>
      <c r="J37" s="10" t="s">
        <v>8</v>
      </c>
    </row>
    <row r="38" spans="6:10" x14ac:dyDescent="0.4">
      <c r="F38" s="40" t="s">
        <v>62</v>
      </c>
      <c r="G38" s="34">
        <v>677.06700000000001</v>
      </c>
      <c r="H38" s="34" t="s">
        <v>4</v>
      </c>
      <c r="I38" s="41">
        <f xml:space="preserve"> SUM(I39:I41)</f>
        <v>2377948505.6814623</v>
      </c>
      <c r="J38" s="36" t="s">
        <v>8</v>
      </c>
    </row>
    <row r="39" spans="6:10" x14ac:dyDescent="0.4">
      <c r="F39" s="42" t="s">
        <v>11</v>
      </c>
      <c r="G39" s="37">
        <f xml:space="preserve"> G38*0.697309</f>
        <v>472.12491270299995</v>
      </c>
      <c r="H39" s="37" t="s">
        <v>4</v>
      </c>
      <c r="I39" s="43">
        <f xml:space="preserve"> G39*$N$2*$N$3*N6</f>
        <v>1376716245.4419477</v>
      </c>
      <c r="J39" s="39" t="s">
        <v>8</v>
      </c>
    </row>
    <row r="40" spans="6:10" x14ac:dyDescent="0.4">
      <c r="F40" s="42" t="s">
        <v>49</v>
      </c>
      <c r="G40" s="37">
        <f xml:space="preserve"> G38*0.0237623</f>
        <v>16.088669174100001</v>
      </c>
      <c r="H40" s="37" t="s">
        <v>4</v>
      </c>
      <c r="I40" s="43">
        <f xml:space="preserve"> G40*$N$2*$N$3*N8</f>
        <v>83403660.998534411</v>
      </c>
      <c r="J40" s="39" t="s">
        <v>8</v>
      </c>
    </row>
    <row r="41" spans="6:10" x14ac:dyDescent="0.4">
      <c r="F41" s="42" t="s">
        <v>57</v>
      </c>
      <c r="G41" s="37">
        <f xml:space="preserve"> G38*0.278929</f>
        <v>188.85362124299999</v>
      </c>
      <c r="H41" s="37" t="s">
        <v>4</v>
      </c>
      <c r="I41" s="43">
        <f xml:space="preserve"> G41*$N$2*$N$3*N11</f>
        <v>917828599.24097991</v>
      </c>
      <c r="J41" s="39" t="s">
        <v>8</v>
      </c>
    </row>
    <row r="42" spans="6:10" x14ac:dyDescent="0.4">
      <c r="F42" s="7" t="s">
        <v>63</v>
      </c>
      <c r="G42" s="4">
        <v>25.990500000000001</v>
      </c>
      <c r="H42" s="4" t="s">
        <v>4</v>
      </c>
      <c r="I42" s="14">
        <f xml:space="preserve"> SUM(I43:I44)</f>
        <v>133707402.88436882</v>
      </c>
      <c r="J42" s="8" t="s">
        <v>8</v>
      </c>
    </row>
    <row r="43" spans="6:10" x14ac:dyDescent="0.4">
      <c r="F43" s="9" t="s">
        <v>11</v>
      </c>
      <c r="G43" s="5">
        <f xml:space="preserve"> G42*0.0174276</f>
        <v>0.45295203780000004</v>
      </c>
      <c r="H43" s="5" t="s">
        <v>4</v>
      </c>
      <c r="I43" s="15">
        <f xml:space="preserve"> G43*$N$2*$N$3*N6</f>
        <v>1320808.1422248001</v>
      </c>
      <c r="J43" s="10" t="s">
        <v>8</v>
      </c>
    </row>
    <row r="44" spans="6:10" ht="16.5" thickBot="1" x14ac:dyDescent="0.45">
      <c r="F44" s="11" t="s">
        <v>49</v>
      </c>
      <c r="G44" s="12">
        <f xml:space="preserve"> G42*0.982572</f>
        <v>25.537537566000001</v>
      </c>
      <c r="H44" s="12" t="s">
        <v>4</v>
      </c>
      <c r="I44" s="15">
        <f xml:space="preserve"> G44*$N$2*$N$3*N8</f>
        <v>132386594.74214402</v>
      </c>
      <c r="J44" s="13" t="s">
        <v>8</v>
      </c>
    </row>
    <row r="45" spans="6:10" x14ac:dyDescent="0.4">
      <c r="F45" s="48" t="s">
        <v>40</v>
      </c>
      <c r="G45" s="49"/>
      <c r="H45" s="49"/>
      <c r="I45" s="49"/>
      <c r="J45" s="50"/>
    </row>
    <row r="46" spans="6:10" x14ac:dyDescent="0.4">
      <c r="F46" s="51" t="s">
        <v>41</v>
      </c>
      <c r="G46" s="51"/>
      <c r="H46" s="51"/>
      <c r="I46" s="51"/>
      <c r="J46" s="52"/>
    </row>
    <row r="47" spans="6:10" x14ac:dyDescent="0.4">
      <c r="F47" s="5" t="s">
        <v>42</v>
      </c>
      <c r="G47" s="5">
        <f>B17</f>
        <v>680430</v>
      </c>
      <c r="H47" s="5" t="s">
        <v>32</v>
      </c>
      <c r="I47" s="5">
        <f xml:space="preserve"> G47*N15</f>
        <v>308637.85631910001</v>
      </c>
      <c r="J47" s="5" t="s">
        <v>8</v>
      </c>
    </row>
  </sheetData>
  <mergeCells count="8">
    <mergeCell ref="A21:E21"/>
    <mergeCell ref="F45:J45"/>
    <mergeCell ref="F46:J46"/>
    <mergeCell ref="A16:E16"/>
    <mergeCell ref="A1:E1"/>
    <mergeCell ref="F1:J1"/>
    <mergeCell ref="A18:E18"/>
    <mergeCell ref="A15:E15"/>
  </mergeCells>
  <pageMargins left="0.7" right="0.7" top="0.75" bottom="0.75" header="0.3" footer="0.3"/>
  <ignoredErrors>
    <ignoredError sqref="I22" 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9B4A91-0684-A14A-86CA-441376E20B86}">
  <dimension ref="A1:F7"/>
  <sheetViews>
    <sheetView tabSelected="1" topLeftCell="A2" workbookViewId="0">
      <selection activeCell="G2" sqref="G2"/>
    </sheetView>
  </sheetViews>
  <sheetFormatPr defaultColWidth="10.6640625" defaultRowHeight="16" x14ac:dyDescent="0.4"/>
  <cols>
    <col min="1" max="1" width="33" customWidth="1"/>
    <col min="2" max="2" width="17.33203125" customWidth="1"/>
    <col min="3" max="3" width="33.1640625" customWidth="1"/>
    <col min="4" max="4" width="27.1640625" customWidth="1"/>
    <col min="5" max="5" width="34.6640625" customWidth="1"/>
    <col min="6" max="6" width="18.5" customWidth="1"/>
  </cols>
  <sheetData>
    <row r="1" spans="1:6" x14ac:dyDescent="0.4">
      <c r="A1" t="s">
        <v>93</v>
      </c>
    </row>
    <row r="3" spans="1:6" x14ac:dyDescent="0.4">
      <c r="A3" t="s">
        <v>94</v>
      </c>
      <c r="B3" t="s">
        <v>96</v>
      </c>
      <c r="C3" t="s">
        <v>94</v>
      </c>
      <c r="D3" t="s">
        <v>95</v>
      </c>
      <c r="E3" t="s">
        <v>94</v>
      </c>
      <c r="F3" t="s">
        <v>97</v>
      </c>
    </row>
    <row r="4" spans="1:6" x14ac:dyDescent="0.4">
      <c r="A4" t="s">
        <v>103</v>
      </c>
      <c r="B4">
        <v>1.03769</v>
      </c>
      <c r="C4" t="s">
        <v>102</v>
      </c>
      <c r="D4">
        <v>5.6100399999999997</v>
      </c>
      <c r="E4" t="s">
        <v>99</v>
      </c>
      <c r="F4">
        <v>5.9905900000000001</v>
      </c>
    </row>
    <row r="5" spans="1:6" x14ac:dyDescent="0.4">
      <c r="A5" t="s">
        <v>98</v>
      </c>
      <c r="B5">
        <f xml:space="preserve"> 4.83372 - B4</f>
        <v>3.7960299999999996</v>
      </c>
      <c r="C5" t="s">
        <v>103</v>
      </c>
      <c r="D5">
        <v>1.1981299999999999</v>
      </c>
      <c r="E5" t="s">
        <v>100</v>
      </c>
      <c r="F5">
        <v>4.8281000000000001</v>
      </c>
    </row>
    <row r="6" spans="1:6" x14ac:dyDescent="0.4">
      <c r="C6" t="s">
        <v>99</v>
      </c>
      <c r="D6">
        <v>0.94635999999999998</v>
      </c>
      <c r="E6" t="s">
        <v>101</v>
      </c>
      <c r="F6">
        <v>4.66275</v>
      </c>
    </row>
    <row r="7" spans="1:6" x14ac:dyDescent="0.4">
      <c r="C7" t="s">
        <v>98</v>
      </c>
      <c r="D7">
        <f xml:space="preserve"> 11.55441 - SUM(D4:D6)</f>
        <v>3.7998800000000008</v>
      </c>
      <c r="E7" t="s">
        <v>98</v>
      </c>
      <c r="F7">
        <f xml:space="preserve"> 19.30268 - SUM(F4:F6)</f>
        <v>3.8212399999999995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98E3E656550D04D8B353A1D701231E6" ma:contentTypeVersion="10" ma:contentTypeDescription="Create a new document." ma:contentTypeScope="" ma:versionID="aaaf65eb00cf97d2362d2f2df623439e">
  <xsd:schema xmlns:xsd="http://www.w3.org/2001/XMLSchema" xmlns:xs="http://www.w3.org/2001/XMLSchema" xmlns:p="http://schemas.microsoft.com/office/2006/metadata/properties" xmlns:ns2="5748228e-e0f9-481b-9bfa-9e08bfc05a98" xmlns:ns3="62c204ee-2bc8-4ae6-b59f-67db47926229" targetNamespace="http://schemas.microsoft.com/office/2006/metadata/properties" ma:root="true" ma:fieldsID="93a572e7b9bcb25669eb55b56076daf7" ns2:_="" ns3:_="">
    <xsd:import namespace="5748228e-e0f9-481b-9bfa-9e08bfc05a98"/>
    <xsd:import namespace="62c204ee-2bc8-4ae6-b59f-67db4792622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48228e-e0f9-481b-9bfa-9e08bfc05a9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Image Tags" ma:readOnly="false" ma:fieldId="{5cf76f15-5ced-4ddc-b409-7134ff3c332f}" ma:taxonomyMulti="true" ma:sspId="74661dae-d6df-48fc-a54e-a577d2899e9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2c204ee-2bc8-4ae6-b59f-67db47926229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24a41a4a-43e3-45b8-a0b2-a154e8e773d4}" ma:internalName="TaxCatchAll" ma:showField="CatchAllData" ma:web="62c204ee-2bc8-4ae6-b59f-67db4792622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62c204ee-2bc8-4ae6-b59f-67db47926229" xsi:nil="true"/>
    <lcf76f155ced4ddcb4097134ff3c332f xmlns="5748228e-e0f9-481b-9bfa-9e08bfc05a9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9A765064-7A71-48DB-930B-66AA81068957}"/>
</file>

<file path=customXml/itemProps2.xml><?xml version="1.0" encoding="utf-8"?>
<ds:datastoreItem xmlns:ds="http://schemas.openxmlformats.org/officeDocument/2006/customXml" ds:itemID="{3B60EBF5-DB3D-46AA-9BB1-195D38E10D70}"/>
</file>

<file path=customXml/itemProps3.xml><?xml version="1.0" encoding="utf-8"?>
<ds:datastoreItem xmlns:ds="http://schemas.openxmlformats.org/officeDocument/2006/customXml" ds:itemID="{582332C3-7703-4F89-BEE5-08F99236127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PCC (BASE-CASE)  DONE </vt:lpstr>
      <vt:lpstr>PCC (OPTIMISED) DONE</vt:lpstr>
      <vt:lpstr>DAC</vt:lpstr>
      <vt:lpstr>FA production (Base-Case) DONE</vt:lpstr>
      <vt:lpstr>FA production (Optimised) DONE </vt:lpstr>
      <vt:lpstr>GWP 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Simandjoentak, Lance</dc:creator>
  <cp:lastModifiedBy>Simandjoentak, Lance</cp:lastModifiedBy>
  <dcterms:created xsi:type="dcterms:W3CDTF">2025-04-07T10:01:58Z</dcterms:created>
  <dcterms:modified xsi:type="dcterms:W3CDTF">2025-04-08T21:57:10Z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0x010100498E3E656550D04D8B353A1D701231E6</vt:lpwstr>
  </property>
</Properties>
</file>